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15480" windowHeight="8775" tabRatio="796" activeTab="0"/>
  </bookViews>
  <sheets>
    <sheet name="мун.задание" sheetId="1" r:id="rId1"/>
    <sheet name="таблица вспом" sheetId="2" state="hidden" r:id="rId2"/>
    <sheet name="пр.1+2 " sheetId="3" state="hidden" r:id="rId3"/>
    <sheet name="пр.3" sheetId="4" state="hidden" r:id="rId4"/>
    <sheet name="пр.4" sheetId="5" state="hidden" r:id="rId5"/>
    <sheet name="пр.5" sheetId="6" state="hidden" r:id="rId6"/>
    <sheet name="пр.6" sheetId="7" state="hidden" r:id="rId7"/>
    <sheet name="свод" sheetId="8" r:id="rId8"/>
    <sheet name="проверка" sheetId="9" state="hidden" r:id="rId9"/>
    <sheet name="1433" sheetId="10" r:id="rId10"/>
    <sheet name="касса" sheetId="11" state="hidden" r:id="rId11"/>
    <sheet name="Лист1" sheetId="12" r:id="rId12"/>
  </sheets>
  <definedNames>
    <definedName name="_xlfn.FLOOR.PRECISE" hidden="1">#NAME?</definedName>
    <definedName name="_xlnm.Print_Area" localSheetId="9">'1433'!$A$1:$G$175</definedName>
    <definedName name="_xlnm.Print_Area" localSheetId="10">'касса'!$A$1:$S$47</definedName>
    <definedName name="_xlnm.Print_Area" localSheetId="0">'мун.задание'!$A$1:$R$253</definedName>
    <definedName name="_xlnm.Print_Area" localSheetId="2">'пр.1+2 '!$A$1:$G$69</definedName>
    <definedName name="_xlnm.Print_Area" localSheetId="7">'свод'!$A$1:$F$151</definedName>
    <definedName name="_xlnm.Print_Area" localSheetId="1">'таблица вспом'!$A$1:$S$48</definedName>
  </definedNames>
  <calcPr fullCalcOnLoad="1"/>
</workbook>
</file>

<file path=xl/comments3.xml><?xml version="1.0" encoding="utf-8"?>
<comments xmlns="http://schemas.openxmlformats.org/spreadsheetml/2006/main">
  <authors>
    <author>Кочнева Юлия</author>
  </authors>
  <commentList>
    <comment ref="C35" authorId="0">
      <text>
        <r>
          <rPr>
            <b/>
            <sz val="8"/>
            <rFont val="Tahoma"/>
            <family val="2"/>
          </rPr>
          <t>Кочнева Юлия:</t>
        </r>
        <r>
          <rPr>
            <sz val="8"/>
            <rFont val="Tahoma"/>
            <family val="2"/>
          </rPr>
          <t xml:space="preserve">
здесь добавлены одаренные дети
</t>
        </r>
      </text>
    </comment>
  </commentList>
</comments>
</file>

<file path=xl/sharedStrings.xml><?xml version="1.0" encoding="utf-8"?>
<sst xmlns="http://schemas.openxmlformats.org/spreadsheetml/2006/main" count="975" uniqueCount="501">
  <si>
    <t>Приложение №1</t>
  </si>
  <si>
    <t>к Положению о порядке</t>
  </si>
  <si>
    <t>формирования, организации</t>
  </si>
  <si>
    <t>контроля и финансового</t>
  </si>
  <si>
    <t>обеспечения исполнения</t>
  </si>
  <si>
    <t xml:space="preserve">муниципальных заданий на </t>
  </si>
  <si>
    <t>оказание муниципальных услуг</t>
  </si>
  <si>
    <t>(выполнение работ) для</t>
  </si>
  <si>
    <t xml:space="preserve">муниципальных учреждений </t>
  </si>
  <si>
    <t>города Пензы</t>
  </si>
  <si>
    <t>Муниципальное задание</t>
  </si>
  <si>
    <t>на оказание муниципальных услуг (выполнение работ)</t>
  </si>
  <si>
    <t>2. Выписка из реестра муниципальных услуг:</t>
  </si>
  <si>
    <t>Порядковый номер</t>
  </si>
  <si>
    <t>Код расходного обязательства</t>
  </si>
  <si>
    <t>Наименование муниципальной услуги</t>
  </si>
  <si>
    <t>Единица измерения</t>
  </si>
  <si>
    <t>Источник финансирования</t>
  </si>
  <si>
    <t>Нормативно-правовой акт, закрепляющий предоставление услуги за муниципальным образованием городским округом - город Пенза</t>
  </si>
  <si>
    <t>Наименование вопроса местного значения</t>
  </si>
  <si>
    <t>Потребитель муниципальной услуги</t>
  </si>
  <si>
    <t>Орган местного самоуправления, ответственный за организацию предоставления муниципальной услуги</t>
  </si>
  <si>
    <t>Способ установления цены муниципальной услуги</t>
  </si>
  <si>
    <t>Предмет (содержание) муниципальной услуги</t>
  </si>
  <si>
    <t>3. Правовые основания предоставления муниципальной услуги:</t>
  </si>
  <si>
    <t>Нормативно-правовое регулирование, определяющее финансовое обеспечение и порядок расходования средств</t>
  </si>
  <si>
    <t>Нормативно-правовые акты, договоры, соглашения Российской Федерации</t>
  </si>
  <si>
    <t>Нормативно-правовые акты, договоры, соглашения Пензенской области</t>
  </si>
  <si>
    <t>Нормативно-правовые акты, договоры, соглашения города Пензы</t>
  </si>
  <si>
    <t>Наименование расходного обязательства в соответствии с реестром раходных обязательств города Пензы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</si>
  <si>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</si>
  <si>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</si>
  <si>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</si>
  <si>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4. Плановый объем оказываемых муниципальных услуг (в натуральных показателях):</t>
  </si>
  <si>
    <t>Объем услуг за год</t>
  </si>
  <si>
    <t>Наименование муниципальной услуги (элемента детацизации)</t>
  </si>
  <si>
    <t>…….</t>
  </si>
  <si>
    <t>5. Плановый объем оказываемых муниципальных услуг (в стоимостных показателях).</t>
  </si>
  <si>
    <t>Год</t>
  </si>
  <si>
    <t>Объем услуг за год, руб.</t>
  </si>
  <si>
    <t xml:space="preserve">             При формировании бюджета города Пензы на очередной финансовый год и плановый период данный раздел заполняется раздельно для очередного финансового года и каждого года планового периода.</t>
  </si>
  <si>
    <t>5.2 Плановый объем оказываемых услуг (в стоимостных показателях), рассчитанный нормативным способом</t>
  </si>
  <si>
    <t>Наименование показателя</t>
  </si>
  <si>
    <t>Норматив затрат на единицу услуги</t>
  </si>
  <si>
    <t>Сумма затрат на предоставление услуги</t>
  </si>
  <si>
    <r>
      <t>Совокупный объем предоставления услуги</t>
    </r>
    <r>
      <rPr>
        <sz val="10"/>
        <color indexed="8"/>
        <rFont val="Times New Roman"/>
        <family val="1"/>
      </rPr>
      <t>, рассчитанный нормативным способом</t>
    </r>
  </si>
  <si>
    <t>X</t>
  </si>
  <si>
    <t>5.3. Плановый ообъем оказываемых услуг (в стоимостных показателях), рассчитанный способом индексации (прямого счета)</t>
  </si>
  <si>
    <t>5.4. Плановый объем оказываемых услуг (в стоимостных показателях), рассчитанный программно-целевым способом</t>
  </si>
  <si>
    <t>Наименование целевой программы</t>
  </si>
  <si>
    <t>&lt;Наименование целевой программы m&gt;</t>
  </si>
  <si>
    <t>6. Показатели, характеризующие качество оказываемых муниципальных услуг</t>
  </si>
  <si>
    <t>6.1. Квартальные показатели оценки качества муниципальной услуги</t>
  </si>
  <si>
    <t>№</t>
  </si>
  <si>
    <t>Наименование показателя качества муниципальной услуги</t>
  </si>
  <si>
    <t>Нормативное значение показателя</t>
  </si>
  <si>
    <t>Установленное значение показателя</t>
  </si>
  <si>
    <t>Квартальные показатели оценки качества муниципальной услуги</t>
  </si>
  <si>
    <t>I кв.</t>
  </si>
  <si>
    <t>II кв.</t>
  </si>
  <si>
    <t>III кв.</t>
  </si>
  <si>
    <t>IV кв.</t>
  </si>
  <si>
    <t>6.2. Годовые показатели оценки качества муниципальной услуги &lt;**&gt;</t>
  </si>
  <si>
    <t>Объем оказания услуги по месяцам &lt;*&gt;</t>
  </si>
  <si>
    <t>&lt;*&gt;</t>
  </si>
  <si>
    <t>Объем оказания услуги по месяцам &lt;*&gt;, руб.</t>
  </si>
  <si>
    <t>Ограничение</t>
  </si>
  <si>
    <t>&lt;**&gt;</t>
  </si>
  <si>
    <t>при наличии системы годовых показателей оценки качества муниципальной услуги</t>
  </si>
  <si>
    <t>7. Программа действий (мероприятий) учреждения по оказанию муниципальных услуг &lt;***&gt;</t>
  </si>
  <si>
    <t xml:space="preserve">Наименование мероприятия </t>
  </si>
  <si>
    <t>Сроки реализации мероприятия</t>
  </si>
  <si>
    <t>Затраты на реацизацию мероприятия</t>
  </si>
  <si>
    <t>Ожидаемые результаты</t>
  </si>
  <si>
    <t>&lt;***&gt;</t>
  </si>
  <si>
    <t xml:space="preserve">в случае отсутствия стандартов качества оказания муниципальной услуги в муниципальное задание включаются действия (мероприятия) организации </t>
  </si>
  <si>
    <t xml:space="preserve">по оказанию муниципальных услуг. При формировании бюджета города Пензы на очередной финансовый год и плановый период данный раздел заполняется </t>
  </si>
  <si>
    <t>раздельно для очередного финансового года и планового периода.</t>
  </si>
  <si>
    <t>8. Порядок оказания муниципальных услуг</t>
  </si>
  <si>
    <t>9. Цены (тарифы) на оплату муниципальных услуг</t>
  </si>
  <si>
    <t>10. Условия финансового обеспечения муниципального задания, в том числе условия его изменения</t>
  </si>
  <si>
    <t>11. Порядок контроля за исполнением муниципального задания, в том числе, условия и порядок его досрочного прекращения</t>
  </si>
  <si>
    <t>12. Требования к отчетности об исполнении муниципального задания</t>
  </si>
  <si>
    <t>Дата</t>
  </si>
  <si>
    <t>Подпись</t>
  </si>
  <si>
    <t>(Ф.И.О.)</t>
  </si>
  <si>
    <t>5.1. Плановый объем оказываемых услуг(в стоимостных показателях), с учетом всех способов расчета стоимости и параметров детализации</t>
  </si>
  <si>
    <t>Затраты на содержание имущества, &lt;рубли&gt;</t>
  </si>
  <si>
    <t>Долгосрочная целевая программа города Пензы "Здоровый ребенок" на 2011-2013 годы</t>
  </si>
  <si>
    <t>Долгосрочная целевая программа "Пожарная безопасность города Пензы на 2010-2012 годы"</t>
  </si>
  <si>
    <t>Долгосрочная целевая программа "Многодетная семья, 2011-2013 годы"</t>
  </si>
  <si>
    <t>Долгосрочная целевая программа " Профилактика терроризма и экстремизма в городе Пензе на 2010-2013 годы"</t>
  </si>
  <si>
    <t xml:space="preserve"> </t>
  </si>
  <si>
    <t>Финансовое обеспечение исполнения муниципального задания осуществляется в пределах бюджетных ассигнований и лимитов бюджетных обязательств в соответствии со сметой, утвержденной органом местного самоуправления города Пензы</t>
  </si>
  <si>
    <t>Периодичность предоставления - ежеквартально, до 15 числа месяца, следующего за отчетным периодом</t>
  </si>
  <si>
    <t>Отчетность об исполнении муниципального задания должна содержать сведения и информацию, характеризующую результаты деяетльности муниципального учреждения, в том числе:</t>
  </si>
  <si>
    <t>о результатах выполнения задания;</t>
  </si>
  <si>
    <t>о финансовом состоянии муниципльного учреждения;</t>
  </si>
  <si>
    <t>о состоянии изменения объемов предоставляемых муниципальных услуг</t>
  </si>
  <si>
    <t>"Отчет о выполнении муниципального задания" (приложение №2) к Постановлению администрации главы города Пензы от 21.12.2010 года №1433 готовит исполнитель муниципального задания</t>
  </si>
  <si>
    <t>РГ-А-2000</t>
  </si>
  <si>
    <t>Управление образования города Пензы</t>
  </si>
  <si>
    <t>Начальник Управления образования</t>
  </si>
  <si>
    <t>Закон Российской Федерации от 10.07.1992 N 3266-1 "Об образовании" (с изм. и доп.)</t>
  </si>
  <si>
    <t xml:space="preserve">статья 5, пункт 3; статья 31, пункт 1, подпункты 2, 4; статья 52.1, пункты 1, 2; статья 52.2, пункт 3 </t>
  </si>
  <si>
    <t>Устав города Пензы (с изм. и доп.), принят Решением Пензенской городской Думы от 30.06.2005 N 130-12/4  .                        Решение Пензенской городской Думы от 21.10.2010 №488-24/5</t>
  </si>
  <si>
    <t>статья 5, пункт 1, подпункт 13; статья 39, пункт 1, подпункты 1.1, 1.2.а, 1.6, 1.9, 1.8, 1.20                                                                                                                                                                                              статья 14 пункт1</t>
  </si>
  <si>
    <t>1 учащийся</t>
  </si>
  <si>
    <t>норматив, программно- целевое финансирование ( в том числе в рамках программы капитального строительства), метод индексации (прямой счет)</t>
  </si>
  <si>
    <t>Население школьного возраста (6,5-18 лет)</t>
  </si>
  <si>
    <r>
      <t>Совокупный объем предоставления услуги "</t>
    </r>
    <r>
      <rPr>
        <sz val="10"/>
        <color indexed="8"/>
        <rFont val="Times New Roman"/>
        <family val="1"/>
      </rPr>
      <t>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 " на территории города Пензы   в том числе:</t>
    </r>
  </si>
  <si>
    <t xml:space="preserve"> 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 " на территории города Пензы</t>
  </si>
  <si>
    <r>
      <t>Совокупный объем предоставления услуги 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 " на территории города Пензы</t>
    </r>
    <r>
      <rPr>
        <sz val="9"/>
        <color indexed="8"/>
        <rFont val="Times New Roman"/>
        <family val="1"/>
      </rPr>
      <t>, в том числе:</t>
    </r>
  </si>
  <si>
    <t>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 "</t>
  </si>
  <si>
    <t xml:space="preserve">Наличие фактов выбытия из Учреждения учащихся без
уважительных причин                              
</t>
  </si>
  <si>
    <t xml:space="preserve">Есть/нет           </t>
  </si>
  <si>
    <t xml:space="preserve">Среднестатистическое отклонение фактической      
наполняемости классов от нормативной             
</t>
  </si>
  <si>
    <t xml:space="preserve">Не более 5%        </t>
  </si>
  <si>
    <t xml:space="preserve">Соблюдение лимитов по использованию ТЭР     </t>
  </si>
  <si>
    <t xml:space="preserve">Да/нет             </t>
  </si>
  <si>
    <t xml:space="preserve">Наличие жалоб на деятельность Учреждения         </t>
  </si>
  <si>
    <t>да/нет</t>
  </si>
  <si>
    <t xml:space="preserve">Доля учащихся (от общего числа учащихся) в       
Учреждении, принимавших участие в социально      
значимых мероприятиях                            
</t>
  </si>
  <si>
    <t xml:space="preserve">Не менее 80%       </t>
  </si>
  <si>
    <t xml:space="preserve">Доля учащихся (от общего числа учащихся) в       
Учреждении, занимающихся в кружках, секциях,     
учреждениях дополнительного образования          
</t>
  </si>
  <si>
    <t xml:space="preserve">Не менее 85%       </t>
  </si>
  <si>
    <t xml:space="preserve">Наличие штрафных санкций контролирующих органов  
(Роспотребнадзор, ГО ЧС, прокуратура) в отношении
не соблюдения лицензионных требований  
</t>
  </si>
  <si>
    <t xml:space="preserve">Отсутствие случаев травматизма учащихся и        
работников Учреждения во время образовательного  
процесса
</t>
  </si>
  <si>
    <t xml:space="preserve">Охват учащихся организованным горячим питанием   </t>
  </si>
  <si>
    <t xml:space="preserve">Не менее 100%      </t>
  </si>
  <si>
    <t xml:space="preserve">Доля учащихся, занимающихся в спортивных кружках 
и секциях                                        
</t>
  </si>
  <si>
    <t xml:space="preserve">Не менее 30%       </t>
  </si>
  <si>
    <t xml:space="preserve">Проведение практических занятий и тренировок по  
действию работников Учреждения в экстремальных   
ситуациях                                        
</t>
  </si>
  <si>
    <t xml:space="preserve">Не менее 1 учебно- 
тренировочного     
занятия за квартал 
</t>
  </si>
  <si>
    <t>Мероприятия по выполнению наказов избирателей в области общего образования, поступивших депутатам Пензенской городской Думы</t>
  </si>
  <si>
    <t>Долгосрочная целевая программа "Организация отдыха, оздоровления, занятости детей и подростков в городе Пензе на 2011-2015 годы"</t>
  </si>
  <si>
    <t>Долгосрочная целевая программа "Школьное молоко" на период 2011-2013 годы"</t>
  </si>
  <si>
    <t>Долгосрочная целевая программа города Пензы "Совершенствование организации питания обучающихся муниципальных общеобразовательных учреждений города Пензы на основе внедрения новых технологий приготовления пищи на 2011-2013 годы"</t>
  </si>
  <si>
    <t xml:space="preserve">Организация предоставления общедоступного и бесплатного начального общего,основного общего,среднего(полного) общего образования по основным общеобразовательным программам за исключением полномочий по финансовому обеспечению образовательного процесса, отнесенных к полномочиям органов государственной власти субъектов Россйской Федерации; организация предоставления дополнительного образования и общедоступного бесплатного дошкольного образования на территории городского округа, а также организация отдыха детей в каникулярное время. </t>
  </si>
  <si>
    <t>Затраты, непосредственно связанные с оказанием муниципальной услуги,за счет бюджета города Пензы &lt;рубли&gt;</t>
  </si>
  <si>
    <t>Затраты, непосредственно связанные с оказанием муниципальной услуги, за счет бюджета Пензенской области &lt;рубли&gt;</t>
  </si>
  <si>
    <t>Затраты, на общехозяйственные нужды,за счет бюджета города Пензы &lt;рубли&gt;</t>
  </si>
  <si>
    <t>Затраты, на общехозяйственные нужды, за счет бюджета Пезенской области &lt;рубли&gt;</t>
  </si>
  <si>
    <t>Затраты, непосредственно связанные с оказанием муниципальной услуги, &lt;учащийся&gt;</t>
  </si>
  <si>
    <t>Затраты, на общехозяйственные нужды, &lt;учащийся&gt;</t>
  </si>
  <si>
    <t>Затраты на содержание имущества, &lt;учащийся&gt;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</si>
  <si>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</si>
  <si>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 xml:space="preserve">Бюджет Пензенской области (субвенция на финансирование общеобразовательных учреждений в части реализации ими государственного стандарта общего образования)
Бюджет города Пензы
</t>
  </si>
  <si>
    <t xml:space="preserve">Обеспечение педагогическим, руководящим, административно-хозяйственным, учебно-вспомогательным и прочим персоналом образовательного процесса.
Материально-техническое обеспечение образовательного процесса, программно-методическое, техническое, консультационное. информационно-аналитическое сопровождение образовательного процесса в общеобразовательных учреждениях, лицеях, гимназиях, школе-детском саду, прогимназии, коррекционных классах общеобразовательных школ; классах с углубленным изучением предмета; а рамках индивидуального обучения на дому; в группах продленного дня.
Предоставление обучающимся зданий и иных помещений, отвечающим установленным строительным, санитарным и т.п. правилам и нормам.
Обеспечение содержания и ремонта предоставленных зданий и иных помещений в соответствии со стандартами качества.
Обеспечение помещения услугами тепло-, электро и водоснабжения, услугами водоотведения.
Организация питания детей (школа-детский сад, прогимназия, школа- интернат) и обеспечение материальными запасами, не относящимися к основным средствам.
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</si>
  <si>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отнесенных к полномочиям органов государственной власти субъектов Российской Федерации; организация предоставления дополнительного образования и общедоступного бесплатного дошкольного образования на территории городского округа, а также организация отдыха детей в каникулярное время.</t>
  </si>
  <si>
    <t xml:space="preserve">). Конституция РФ, ст. 43.;
2). Федеральный закон от 06.10.2003 N 131-ФЗ "Об общих принципах организации местного самоуправления в Российской Федерации", статья 16, пункт 1, подпункт 13 (с изм. и доп.);
3). Закон РФ от 10.07.1992 N 3266-1 "Об образовании", статья 31, пункт 1, подпункты 1, 4; статья 41 (с изм. и доп.);
4). Закон РФ от 24.07.1998 г. N 124-ФЗ "Об основных гарантиях прав ребенка в Российской Федерации", ст. 13 (с изм. и доп.);
5) Закон Пензенской области от 16.09.1999 N 166-ЗПО (с изм. и доп.) "Об образовании в Пензенской области", ст. 2, ст. 12, ст. 20 (п. 7), ст. 22 (п. 1-3, 5-8), ст. 23 (п. 2, 3, 5.1, 7), ст.23.1, ст.27.;
6) Устав города Пензы (с изм. и доп.) принят решением Пензенской городской Думы от 30.06.2005 N 130-12/4 ст. 5 (п. 3, п. 4 п. 13), ст. 19 (п. 1.11.), ст. 33 (п. 1.33.а), ст. 39.;
7) Положение об Управлении образования города Пензы, утвержденное постановлением Главы администрации города Пензы от 30.03.2006 года (с изм. и доп.): раздел II, пункт 2.2., подпункты 2.2.1., 2.2.3., 2.2.4., 2.2.5., 2.2.6., 2.2.9.;
</t>
  </si>
  <si>
    <t>по кварталам, в случае выбора квартальной детализации объема услуг</t>
  </si>
  <si>
    <t>КОСГУ</t>
  </si>
  <si>
    <t>месяц</t>
  </si>
  <si>
    <t>1 квартал</t>
  </si>
  <si>
    <t>2 квартал</t>
  </si>
  <si>
    <t>3 квартал</t>
  </si>
  <si>
    <t>4 квартал</t>
  </si>
  <si>
    <t>СУБВЕНЦИЯ</t>
  </si>
  <si>
    <t>МЕСТНЫЙ</t>
  </si>
  <si>
    <t>затраты на компенсационные выплаты по уходу за ребенком</t>
  </si>
  <si>
    <t xml:space="preserve">приобретение услуг связи </t>
  </si>
  <si>
    <t>Коммунальные услуги</t>
  </si>
  <si>
    <t>Услуги по вывозу мусора</t>
  </si>
  <si>
    <t>Услуги по тех.обслуживание ТС</t>
  </si>
  <si>
    <t>Услуги по дератизации</t>
  </si>
  <si>
    <t>Услуги тех.обслуживанию пожарной сигнализации</t>
  </si>
  <si>
    <t>Услуги тревожная кнопка</t>
  </si>
  <si>
    <t>Услуги по утилизация ртутосодержащих отходов</t>
  </si>
  <si>
    <t>акредитация</t>
  </si>
  <si>
    <t>Приобретение основных средств</t>
  </si>
  <si>
    <t>Приобретение материальныз запасов</t>
  </si>
  <si>
    <t>субвенция</t>
  </si>
  <si>
    <t>местные</t>
  </si>
  <si>
    <t>ВСЕГО СМЕТА</t>
  </si>
  <si>
    <t>Директор_________________________________</t>
  </si>
  <si>
    <t>Гл.бухгалтер ____________________________________</t>
  </si>
  <si>
    <t>горячее водоснабжение</t>
  </si>
  <si>
    <r>
      <t>затраты на оплату труда  персонала, не принимающего непосредственное участие в оказании муниципальной услуги(бюджет Пензенской области)</t>
    </r>
    <r>
      <rPr>
        <b/>
        <sz val="10"/>
        <rFont val="Times New Roman"/>
        <family val="1"/>
      </rPr>
      <t>(ВСЕ ОСТАЛЬНЫЕ ДОЛЖНОСТИ)</t>
    </r>
  </si>
  <si>
    <r>
      <t>затраты на оплату труда  персонала,  принимающего непосредственное участие в оказании муниципальной услуги(бюджет Пензенской области)</t>
    </r>
    <r>
      <rPr>
        <b/>
        <sz val="10"/>
        <rFont val="Times New Roman"/>
        <family val="1"/>
      </rPr>
      <t>(УЧИТЕЛЯ)</t>
    </r>
  </si>
  <si>
    <t>"Организация отдыха, оздоровлениt, занятости детей и подростков в городе Пензе на 2011-2015 годы"</t>
  </si>
  <si>
    <t>Долгосрочная целевая программа  "Укрепление материально-технической базы и проведение капитального ремонта зданий и сооружений учреждений, в отношении которых функции и полномочия учредителя осуществляет Управление образования города Пензы, и здания Управления образования города Пензы на 2010-2013 г.г."</t>
  </si>
  <si>
    <t>Затраты, непосредственно связанные с оказанием муниципальной услуги, за счет федерального бюджета &lt;рубли&gt;</t>
  </si>
  <si>
    <t>классное руководство</t>
  </si>
  <si>
    <t xml:space="preserve">В соответствии со стандартом качества предоставляемой услуги, согласно постановления администрации города Пензы от 19.05.2009            N 682/1 "Об утверждении Основных требований к качеству предоставления муниципальной услуги "Организация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программам" на территории города Пензы" </t>
  </si>
  <si>
    <t>приложение 1</t>
  </si>
  <si>
    <t>Расчет норматива затрат, непосредственно связанных с оказанием муниципальной услуги</t>
  </si>
  <si>
    <t>Оклад с учетом k специфики</t>
  </si>
  <si>
    <t>k стимулирования</t>
  </si>
  <si>
    <t>количество месяцев</t>
  </si>
  <si>
    <t>k увеличения</t>
  </si>
  <si>
    <t>норматив</t>
  </si>
  <si>
    <t>начисления на оплату труда</t>
  </si>
  <si>
    <t>итого</t>
  </si>
  <si>
    <t xml:space="preserve">количество </t>
  </si>
  <si>
    <t>кол-во классных руководителей</t>
  </si>
  <si>
    <t>Средняя ставка на класс</t>
  </si>
  <si>
    <t>приложение 2</t>
  </si>
  <si>
    <t>Расчет норматива затрат ,непосредственно  не связанных с оказанием муниципальной услуги</t>
  </si>
  <si>
    <t>кол-во ставок</t>
  </si>
  <si>
    <t>норматив на а компенсационные выплаты по уходу за ребенком</t>
  </si>
  <si>
    <t>количество работников, имеющих право на получение компенсационных выплат по уходу за ребенком</t>
  </si>
  <si>
    <t>расходы на на получение компенсационных выплат по уходу за ребенком</t>
  </si>
  <si>
    <t>приложение 3</t>
  </si>
  <si>
    <t xml:space="preserve">Нормативные затраты на содержание недвижимого имущества </t>
  </si>
  <si>
    <t>стоимость</t>
  </si>
  <si>
    <t>количество ед. услуг</t>
  </si>
  <si>
    <t xml:space="preserve">нормативные затраты </t>
  </si>
  <si>
    <t>вывоз мусора</t>
  </si>
  <si>
    <t>тех.обслуживание ТС</t>
  </si>
  <si>
    <t>дератизация</t>
  </si>
  <si>
    <t>тех.обслуживание пожарной сигнализации</t>
  </si>
  <si>
    <t>текущий ремонт зданий и оборудования</t>
  </si>
  <si>
    <t>Тревожная кнопка</t>
  </si>
  <si>
    <t>Утилизация ртутосодержащих отходов</t>
  </si>
  <si>
    <t>Тех.обслуживание средств радиомодема прямой связи</t>
  </si>
  <si>
    <t>обслуживание теплосчетчиков</t>
  </si>
  <si>
    <t xml:space="preserve">Нормативные затраты на приобретение услуг связи и приобретение транспортных услуг </t>
  </si>
  <si>
    <t>приобретение услуг связи (абонентская плата)</t>
  </si>
  <si>
    <t>поминутная оплата</t>
  </si>
  <si>
    <t>интрнет</t>
  </si>
  <si>
    <t xml:space="preserve">приобретение транспортных услуг </t>
  </si>
  <si>
    <t>Прочие нормативные затраты на общехозяйственные нужды</t>
  </si>
  <si>
    <t>арендная плата</t>
  </si>
  <si>
    <t xml:space="preserve">приобритение материальных запасов </t>
  </si>
  <si>
    <t>приложение 4</t>
  </si>
  <si>
    <t xml:space="preserve">Нормативные затраты на содержание движимого имущества </t>
  </si>
  <si>
    <t>Тех.обслуживание</t>
  </si>
  <si>
    <t>Текущий ремонт</t>
  </si>
  <si>
    <t>итого затрат</t>
  </si>
  <si>
    <t>Нормативные затраты на материальные запасы</t>
  </si>
  <si>
    <t>ГСМ</t>
  </si>
  <si>
    <t>Зап.части</t>
  </si>
  <si>
    <t>Лакокрасочные материалы</t>
  </si>
  <si>
    <t xml:space="preserve"> Нормативные затраты на обязательное страхование гражданской ответственности владельцев транспортных средств</t>
  </si>
  <si>
    <t>тариф</t>
  </si>
  <si>
    <t>объем потребления</t>
  </si>
  <si>
    <t>нормативные затраты на коммунальные услуги</t>
  </si>
  <si>
    <t>Автострахование</t>
  </si>
  <si>
    <t xml:space="preserve"> Прочие нормативные затраты на содержание  движимого имущества</t>
  </si>
  <si>
    <t>Нормативные затраты на коммунальные услуги</t>
  </si>
  <si>
    <t>ед.измерения</t>
  </si>
  <si>
    <t>тариф (руб.)</t>
  </si>
  <si>
    <t>нормативные затраты на коммунальные услуги с учетом увеличения</t>
  </si>
  <si>
    <t>холодное водоснабжение</t>
  </si>
  <si>
    <t>м3</t>
  </si>
  <si>
    <t>водоотведение</t>
  </si>
  <si>
    <t>тепловая  энергия</t>
  </si>
  <si>
    <t>гКал</t>
  </si>
  <si>
    <t>электрическая энергия</t>
  </si>
  <si>
    <t>кВат</t>
  </si>
  <si>
    <t>вывоз жидких бытовых отходов и объемов жидких бытовых отходов</t>
  </si>
  <si>
    <t>приложение 6</t>
  </si>
  <si>
    <t>Нормативные затраты на уплату налогов</t>
  </si>
  <si>
    <t>налогооблагаемая база</t>
  </si>
  <si>
    <t>ставка налога</t>
  </si>
  <si>
    <t>Налог на имущество</t>
  </si>
  <si>
    <t>Налог на землю</t>
  </si>
  <si>
    <t>транспортный налог</t>
  </si>
  <si>
    <t>экологический сбор</t>
  </si>
  <si>
    <t>гос.пошлина</t>
  </si>
  <si>
    <t>Определение нормативных затрат на оказание муниципальной услуги</t>
  </si>
  <si>
    <t>Объем приобретаемых муниципальных услуг (выполняемых работ) в стоимостных показателях</t>
  </si>
  <si>
    <t>Объем муниципальных услуг в натуральных показателях</t>
  </si>
  <si>
    <t xml:space="preserve">Наименование приобретаемых муниципальных услуг </t>
  </si>
  <si>
    <t>Норматив финансовых затрат на единицу приобретаемой муниципальной услуги (выполняемой работы) (руб.)</t>
  </si>
  <si>
    <t>Общий объем приобретаемых муниципальных услуг (выполняемых работ) (руб)</t>
  </si>
  <si>
    <t>1. Затраты, непосредственно связанные с оказанием муниципальной услуги. (приложение1)</t>
  </si>
  <si>
    <t>затраты на оплату труда  персонала, принимающего непосредственное участие в оказании муниципальной услуги</t>
  </si>
  <si>
    <t>руб.</t>
  </si>
  <si>
    <t>затраты на  начисления на выплаты по оплате труда и персонала, принимающего непосредственное участие в оказании муниципальной услуги</t>
  </si>
  <si>
    <t>Нормативные   затраты   на   приобретение   материальных   запасов, потребляемых в процессе оказания муниципальной услуги</t>
  </si>
  <si>
    <t>всего</t>
  </si>
  <si>
    <t xml:space="preserve">1.1 В том числе затраты, непосредственно связанные с оказанием муниципальной услуги ( за счет бюджета города Пензы) . </t>
  </si>
  <si>
    <t xml:space="preserve">1.2 В том числе затраты, непосредственно связанные с оказанием муниципальной услуги ( за счет федерального бюджета) . </t>
  </si>
  <si>
    <t xml:space="preserve">1.3 В том числе затраты, непосредственно связанные с оказанием муниципальной услуги ( за счет бюджета Пензенской области) . </t>
  </si>
  <si>
    <t>2. Затраты, на общехозяйственные нужды.</t>
  </si>
  <si>
    <t>2.1 Затраты на оплату труда и начисления на выплаты по оплате труда  персонала, не принимающего непосредственное участие в оказании муниципальной услуги (приложение2)</t>
  </si>
  <si>
    <t>затраты на оплату труда  персонала, не принимающего непосредственное участие в оказании муниципальной услуги</t>
  </si>
  <si>
    <t>затраты на  начисления на выплаты по оплате труда  персонала, не принимающего непосредственное участие в оказании муниципальной услуги</t>
  </si>
  <si>
    <t>2.1.1 В том числе затраты на оплату труда и начисления на выплаты по оплате труда  персонала, не принимающего непосредственное участие в оказании муниципальной услуги (за счет бюджета Пензенской области)</t>
  </si>
  <si>
    <t>2.1.2 В том числе затраты на оплату труда и начисления на выплаты по оплате труда  персонала, не принимающего непосредственное участие в оказании муниципальной услуги (за счет бюджета города Пензы)</t>
  </si>
  <si>
    <t>2.2 Затраты на содержание недвижимого имущества (приложение3)</t>
  </si>
  <si>
    <t>2.3. Затраты на приобретение услуг связи (приложение3)</t>
  </si>
  <si>
    <t>Услуга по содержанию и техническому обслуживанию системы аварийного освещения</t>
  </si>
  <si>
    <t>Услуга по содержанию и техническому обслуживанию КТС</t>
  </si>
  <si>
    <t>Услуга по противопожарной пропитке чердачных деревянных конструкций</t>
  </si>
  <si>
    <t>Услуга по замеру сопротивления электроцепей, изоляции</t>
  </si>
  <si>
    <t>Услуги обеспечения норм освещенности периметра здания и территории в вечернее время</t>
  </si>
  <si>
    <t>3. Услуги и работы по нормативному содержанию имущества и помещений муниципальной собственности</t>
  </si>
  <si>
    <t>Услуги по вызову ТОП</t>
  </si>
  <si>
    <t>Услуги по текущему содержанию и техническому обслуживанию УУТЭ</t>
  </si>
  <si>
    <t>Работы по дезинфекции</t>
  </si>
  <si>
    <t>Услуги по устранению аварийных ситуаций домового оборудования</t>
  </si>
  <si>
    <t>Услуги по текущему содержанию и техническому обслуживанию торгового оборудования столовой</t>
  </si>
  <si>
    <t>Услуга по восполнению хозяйственных товаров</t>
  </si>
  <si>
    <t>4. Услуги и работы текущего ремонта, обеспечение готовности объекта к новому учебному году</t>
  </si>
  <si>
    <t>Услуги по подготовке УУТЭ к осенне-зимнему сезону</t>
  </si>
  <si>
    <t>Работы по испытанию теплового ввода</t>
  </si>
  <si>
    <t>Работы по промывке теплового ввода</t>
  </si>
  <si>
    <t>Услуги по страхованию здания</t>
  </si>
  <si>
    <t>Услуги по обследованию дымоходов</t>
  </si>
  <si>
    <t>Работы по проверке приборов учета</t>
  </si>
  <si>
    <t>Услуги обучения электротехническому минимуму</t>
  </si>
  <si>
    <t>Услуги обучения по эксплуатации тепловых систем</t>
  </si>
  <si>
    <t>Услуги обучения пожарно-техническому минимуму</t>
  </si>
  <si>
    <t>Услуги по приобретению материалов для текущего ремонта</t>
  </si>
  <si>
    <t>Работы текущего ремонта здания и помещений</t>
  </si>
  <si>
    <t>транспортные услуги</t>
  </si>
  <si>
    <t>2.4.Прочие нормативные затраты на общехозяйственные нужды (приложение3)</t>
  </si>
  <si>
    <t>мед.осмотр сотрудников</t>
  </si>
  <si>
    <t>материальные запасы</t>
  </si>
  <si>
    <t>прочие</t>
  </si>
  <si>
    <t xml:space="preserve">Всего </t>
  </si>
  <si>
    <t xml:space="preserve">3. Затраты на содержание движимого имущества </t>
  </si>
  <si>
    <t>2.5 Нормативные затраты на техническое обслуживание и текущий ремонт объектов движимого имущества (приложение 4)</t>
  </si>
  <si>
    <t>2.6 Нормативные затраты на материальные запасы (приложение4)</t>
  </si>
  <si>
    <t>2.7 Нормативные затраты на обязательное страхование гражданской ответственности владельцев транспортных средств (приложение 4)</t>
  </si>
  <si>
    <t>2.8 Прочие нормативные затраты на содержание  движимого имущества (приложение 4)</t>
  </si>
  <si>
    <t>2.9. Приобретение коммунальных услуг (приложение 5)</t>
  </si>
  <si>
    <t>Всего затраты на общехозяйственные нужды</t>
  </si>
  <si>
    <t>3 Нормативные затраты на содержание имущества  (приложение 6)</t>
  </si>
  <si>
    <t>- налог на имущество</t>
  </si>
  <si>
    <t>- налог на землю</t>
  </si>
  <si>
    <t>Всего по учреждению</t>
  </si>
  <si>
    <t>Проверка</t>
  </si>
  <si>
    <t>ВР</t>
  </si>
  <si>
    <t>смета</t>
  </si>
  <si>
    <t>отклонение</t>
  </si>
  <si>
    <t>к/р</t>
  </si>
  <si>
    <t>001</t>
  </si>
  <si>
    <t>т/обслуживание теплосчетчиков</t>
  </si>
  <si>
    <t>поверка ремонт теплосчетчиков</t>
  </si>
  <si>
    <t>Знаки ГТО</t>
  </si>
  <si>
    <t>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 ( за счет бюджета города Пензы) .</t>
  </si>
  <si>
    <t xml:space="preserve">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 ( за счет федерального бюджета) . </t>
  </si>
  <si>
    <t>Норматив   на   приобретение   материальных   запасов, потребляемых в процессе оказания муниципальной услуги ( за счет бюджета Пензенской области) .</t>
  </si>
  <si>
    <t>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 ( за счет бюджета Пензенской области) .</t>
  </si>
  <si>
    <t>Норматив   на   приобретение   материальных   запасов, потребляемых в процессе оказания муниципальной услуги ( за счет бюджета города Пензы) .</t>
  </si>
  <si>
    <t xml:space="preserve">Норматив   </t>
  </si>
  <si>
    <t xml:space="preserve">Норматив  </t>
  </si>
  <si>
    <t xml:space="preserve">Расходы  </t>
  </si>
  <si>
    <t>кол-во ставок учителей</t>
  </si>
  <si>
    <t>кол-во месяцев</t>
  </si>
  <si>
    <t xml:space="preserve">кол-во </t>
  </si>
  <si>
    <t>Нормативные затраты на оплату труда и начисления на выплаты по оплате труда персонала, не принимающего непосредственное участие в оказании муниципальной услуги (за счет бюджета Пензенской области)</t>
  </si>
  <si>
    <t>Нормативные затраты на оплату труда и начисления на выплаты по оплате труда персонала, не принимающего непосредственное участие в оказании муниципальной услуги (за счет бюджета города Пензы)</t>
  </si>
  <si>
    <t>таблица для расчета заработной платы</t>
  </si>
  <si>
    <t>ФЗП в мес</t>
  </si>
  <si>
    <t>ставки</t>
  </si>
  <si>
    <t>без стимуляции</t>
  </si>
  <si>
    <t>стимуляция</t>
  </si>
  <si>
    <t>учителя</t>
  </si>
  <si>
    <t>местный</t>
  </si>
  <si>
    <t>остаток на счете на 1.01.2013</t>
  </si>
  <si>
    <t>доведение на оклады</t>
  </si>
  <si>
    <t>итог по субвенции</t>
  </si>
  <si>
    <t>итог по местному</t>
  </si>
  <si>
    <t>прочие работы и услуги</t>
  </si>
  <si>
    <t>Прочие расходы (значки ГТО)</t>
  </si>
  <si>
    <t>прочие расходы (налоги)</t>
  </si>
  <si>
    <t>работы, услуги по содержанию имущества</t>
  </si>
  <si>
    <t>Блок 1</t>
  </si>
  <si>
    <t>федеральные</t>
  </si>
  <si>
    <t>Блок 2</t>
  </si>
  <si>
    <t>Блок 3</t>
  </si>
  <si>
    <t>должно быть 0,00</t>
  </si>
  <si>
    <t xml:space="preserve">  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</si>
  <si>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Субсидии муниципальным бюджетным учреждениям на иные цели, связанные с погашением кредиторской задолженности по финансовому обеспечению муниципального задания на оказание муниципальных услуг (выполнение работ)</t>
  </si>
  <si>
    <t>Субсидии муниципальным бюджетным учреждениям на иные цели, связанные с погашением кредиторской задолженности по муниципальным целевым программам</t>
  </si>
  <si>
    <t>Долгосрочная целевая программа "Укрепление материально-технической базы и проведение капитального ремонта зданий и сооружений учреждений, в отношении которых функции и полномочия учредителя осуществляет Управление образования города Пензы,</t>
  </si>
  <si>
    <t xml:space="preserve">  Долгосрочная целевая программа "Многодетная семья, 2011-2013 годы"</t>
  </si>
  <si>
    <t xml:space="preserve">  Долгосрочная целевая программа "Школьное молоко" на период 2011-2013 годы"</t>
  </si>
  <si>
    <t xml:space="preserve">  Долгосрочная целевая программа города Пензы "Совершенствование организации питания обучающихся муниципальных общеобразовательных учреждений города Пензы на основе внедрения новых технологий приготовления пищи на 2011-2013 годы"</t>
  </si>
  <si>
    <t>программа"Организация отдыха, оздоровлени и занятости детей и подростков(в оздоровительных лагерях с дневным пребыванием детей в период школьнх каникул"</t>
  </si>
  <si>
    <t>кассовые расходы по  _МбОУ СОШ №_________________по месяцам.</t>
  </si>
  <si>
    <t>Приложение №2</t>
  </si>
  <si>
    <t>Отчет</t>
  </si>
  <si>
    <t>о выполнении муниципального задания на оказание муниципальной услуги (выполнение работы)</t>
  </si>
  <si>
    <r>
      <t>"</t>
    </r>
    <r>
      <rPr>
        <u val="single"/>
        <sz val="12"/>
        <rFont val="Times New Roman"/>
        <family val="1"/>
      </rPr>
      <t>Организация предоставления общедоступного бесплатного начального общего,   основного общего, среднего (полного) общего образования по основным общеобразовательным программам</t>
    </r>
    <r>
      <rPr>
        <sz val="12"/>
        <rFont val="Times New Roman"/>
        <family val="1"/>
      </rPr>
      <t>"</t>
    </r>
  </si>
  <si>
    <r>
      <t xml:space="preserve">Наименование муниципального учреждения </t>
    </r>
    <r>
      <rPr>
        <u val="single"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. </t>
    </r>
  </si>
  <si>
    <t>1. Сведения об оказании муниципальной услуги</t>
  </si>
  <si>
    <t>1.1. Натуральные показатели объема оказания муниципальных услуг</t>
  </si>
  <si>
    <t>Наименование муниципальной услуги (показателя детализации, услуги в составе муниципальной услуги)</t>
  </si>
  <si>
    <t>Объем услуг нарастающим итогом с начала года</t>
  </si>
  <si>
    <t>Объем оказания услуг по месяцам отчетного периода (квартала)</t>
  </si>
  <si>
    <t>План</t>
  </si>
  <si>
    <r>
      <t xml:space="preserve">Совокупный объем предоставления услуги </t>
    </r>
    <r>
      <rPr>
        <u val="single"/>
        <sz val="10"/>
        <rFont val="Times New Roman"/>
        <family val="1"/>
      </rPr>
      <t>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программам"</t>
    </r>
    <r>
      <rPr>
        <sz val="10"/>
        <rFont val="Times New Roman"/>
        <family val="1"/>
      </rPr>
      <t xml:space="preserve">,  в том числе:
</t>
    </r>
  </si>
  <si>
    <t xml:space="preserve">Затраты, непосредственно связанные с оказанием муниципальной услуги
</t>
  </si>
  <si>
    <t xml:space="preserve">Затраты, на общехозяйственные нужды
</t>
  </si>
  <si>
    <t>Затраты на содержание имущества</t>
  </si>
  <si>
    <t>Факт</t>
  </si>
  <si>
    <r>
      <t xml:space="preserve">Совокупный объем предоставления услуги </t>
    </r>
    <r>
      <rPr>
        <u val="single"/>
        <sz val="10"/>
        <rFont val="Times New Roman"/>
        <family val="1"/>
      </rPr>
      <t>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программам"</t>
    </r>
    <r>
      <rPr>
        <sz val="10"/>
        <rFont val="Times New Roman"/>
        <family val="1"/>
      </rPr>
      <t xml:space="preserve">, в том числе:
</t>
    </r>
  </si>
  <si>
    <t>1.2. Стоимостные показатели объема оказания муниципальной услуги</t>
  </si>
  <si>
    <t>Объем услуг нарастающим итогом с начала года, тыс.руб.</t>
  </si>
  <si>
    <t>Объем оказания услуг по месяцам отчетного периода (квартала), тыс.руб.</t>
  </si>
  <si>
    <r>
      <t xml:space="preserve">Совокупный объем предоставления услуги </t>
    </r>
    <r>
      <rPr>
        <u val="single"/>
        <sz val="10"/>
        <rFont val="Times New Roman"/>
        <family val="1"/>
      </rPr>
      <t>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программам"</t>
    </r>
    <r>
      <rPr>
        <sz val="10"/>
        <rFont val="Times New Roman"/>
        <family val="1"/>
      </rPr>
      <t xml:space="preserve">,  </t>
    </r>
    <r>
      <rPr>
        <b/>
        <sz val="10"/>
        <rFont val="Times New Roman"/>
        <family val="1"/>
      </rPr>
      <t>с учетом всех способов расчета стоимости и параметров детализации</t>
    </r>
  </si>
  <si>
    <r>
      <t xml:space="preserve">Совокупный объем предоставления услуги </t>
    </r>
    <r>
      <rPr>
        <u val="single"/>
        <sz val="10"/>
        <rFont val="Times New Roman"/>
        <family val="1"/>
      </rPr>
      <t>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программам"</t>
    </r>
    <r>
      <rPr>
        <sz val="10"/>
        <rFont val="Times New Roman"/>
        <family val="1"/>
      </rPr>
      <t xml:space="preserve">,  </t>
    </r>
    <r>
      <rPr>
        <b/>
        <sz val="10"/>
        <rFont val="Times New Roman"/>
        <family val="1"/>
      </rPr>
      <t xml:space="preserve">рассчитанный нормативным способом, </t>
    </r>
    <r>
      <rPr>
        <sz val="10"/>
        <rFont val="Times New Roman"/>
        <family val="1"/>
      </rPr>
      <t xml:space="preserve">в том числе:
</t>
    </r>
  </si>
  <si>
    <t xml:space="preserve">Затраты, непосредственно связанные с оказанием муниципальной услуги, за счет бюджета города Пензы
</t>
  </si>
  <si>
    <t>Затраты, непосредственно связанные с оказанием муниципальной услуги, за счет бюджета Пензенской области</t>
  </si>
  <si>
    <t xml:space="preserve">Затраты, на общехозяйственные нужды, за счет бюджета города Пензы
</t>
  </si>
  <si>
    <t>Затраты, на общехозяйственные нужды, за счет бюджета Пезенской области</t>
  </si>
  <si>
    <r>
      <t xml:space="preserve">Совокупный объем предоставления услуги </t>
    </r>
    <r>
      <rPr>
        <u val="single"/>
        <sz val="10"/>
        <rFont val="Times New Roman"/>
        <family val="1"/>
      </rPr>
      <t>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программам"</t>
    </r>
    <r>
      <rPr>
        <sz val="10"/>
        <rFont val="Times New Roman"/>
        <family val="1"/>
      </rPr>
      <t xml:space="preserve">,  </t>
    </r>
    <r>
      <rPr>
        <b/>
        <sz val="10"/>
        <rFont val="Times New Roman"/>
        <family val="1"/>
      </rPr>
      <t>рассчитанный способом индексации (прямого счета)</t>
    </r>
    <r>
      <rPr>
        <sz val="10"/>
        <rFont val="Times New Roman"/>
        <family val="1"/>
      </rPr>
      <t>, в том числе:</t>
    </r>
  </si>
  <si>
    <r>
      <t xml:space="preserve">Совокупный объем предоставления услуги </t>
    </r>
    <r>
      <rPr>
        <u val="single"/>
        <sz val="10"/>
        <rFont val="Times New Roman"/>
        <family val="1"/>
      </rPr>
      <t>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программам"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 xml:space="preserve"> рассчитанный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программно-целевым способом</t>
    </r>
    <r>
      <rPr>
        <sz val="10"/>
        <rFont val="Times New Roman"/>
        <family val="1"/>
      </rPr>
      <t>, в том числе:</t>
    </r>
  </si>
  <si>
    <t xml:space="preserve">Исполнение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в муниципальных образовательных учреждениях </t>
  </si>
  <si>
    <t>2. Сведения о качестве оказываемых муниципальных услуг</t>
  </si>
  <si>
    <t>2.1. Наличие в отчетном периоде жалоб на качество услуг</t>
  </si>
  <si>
    <t>№ п/п</t>
  </si>
  <si>
    <t>Кем подана жалоба</t>
  </si>
  <si>
    <t>Содержание жалобы</t>
  </si>
  <si>
    <t>нет</t>
  </si>
  <si>
    <t>2.2. Наличие в отчетном периоде замечаний к качеству услуг со стороны контролирующих органов</t>
  </si>
  <si>
    <t>Контролирующий орган и дата проверки</t>
  </si>
  <si>
    <t>Содержание замечания</t>
  </si>
  <si>
    <t>2.3. Индикаторы оценки качества оказания муниципальных услуг</t>
  </si>
  <si>
    <t>Наименование индикатора оценки качества муниципальной услуги</t>
  </si>
  <si>
    <t>Фактическое значение показателя</t>
  </si>
  <si>
    <t>3. Программа действий (мероприятий) учреждений по оказанию муниципальных услуг &lt;*&gt;</t>
  </si>
  <si>
    <t>Наименование мероприятия</t>
  </si>
  <si>
    <t>Затраты на реализацию мероприятия</t>
  </si>
  <si>
    <t>Фактические результаты (количество оказанных услуг)</t>
  </si>
  <si>
    <t>В случае отсутствия стандартов качества предоставления муниципальных услуг в отчет об исполнении муниципального задания включается</t>
  </si>
  <si>
    <t>отчет о фактической реализации программы действий (мероприятий) учреждения по оказанию муниципальных услуг</t>
  </si>
  <si>
    <t>4. Характеристика факторов, повлиявших на отклонение фактических результатов выполнения муниципального задания от запланированных:</t>
  </si>
  <si>
    <t>5. Характеристика перспектив выполнения муниципальными учреждениями заданий в соответствии с утвержденными объемами задания и порядком оказания муниципальных услуг:</t>
  </si>
  <si>
    <t>6. Характеристика состояния имущества, эксплуатируемого муниципальными учреждениями:</t>
  </si>
  <si>
    <t>Затраты, непосредственно связанные с оказанием муниципальной услуги, за счет средств федерального бюджета</t>
  </si>
  <si>
    <t xml:space="preserve">   Управление образования города Пензы осуществляет контроль за деятельностью Учреждения по оказанию качества Услуги посредством:    -проведения оценки (мониторинга) потребности в предоставлении муниципальных услуг в сфере оразования в натуральном и стоимостном выражении (постановление главы администрации города Пензы от 25.06.2008 №988 "Об утверждении Методики проведения егодной оценки (мониторинга) потребности в предоставлении муниципальных услуг в сфере образования в натеральном и стоимостом выражении" (с изм. и доп.));                                                                                                                                                                                                                                                                 -анализа жалоб, обращений граждан (потребителей Услуги), поступивших в Управление образования города Пензы, проведения служебных расследований с привлечением к ответственности соответствующих работников Учреждений;                                                                                                                                                                                                                    -проведенея контрольных мероприятий.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</si>
  <si>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Директор МБОУ СОШ №41  г.Пензы___________ Р.Т.Сайфетдинова</t>
  </si>
  <si>
    <t>Гл.бухгалтер ____________________ М.П.Преснякова</t>
  </si>
  <si>
    <r>
      <rPr>
        <sz val="11"/>
        <rFont val="Times New Roman"/>
        <family val="1"/>
      </rPr>
      <t>Наименование муниципального учреждения</t>
    </r>
    <r>
      <rPr>
        <b/>
        <sz val="12"/>
        <rFont val="Times New Roman"/>
        <family val="1"/>
      </rPr>
      <t xml:space="preserve">        </t>
    </r>
    <r>
      <rPr>
        <b/>
        <u val="single"/>
        <sz val="12"/>
        <rFont val="Times New Roman"/>
        <family val="1"/>
      </rPr>
      <t xml:space="preserve"> Муниципальное бюджетное общеобразовательное учреждение Средняя общеобразовательная школа N 41     г. Пензы</t>
    </r>
  </si>
  <si>
    <t>Директор МБОУ СОШ № 41 г.Пензы _____________  Р.Т.Сайфетдинова</t>
  </si>
  <si>
    <t>Гл.бухгалтер ________________________М.П.Преснякова</t>
  </si>
  <si>
    <t>Директор МБОУ СОШ № 41 г.Пензы__________________Р.Т.Сайфетдинова</t>
  </si>
  <si>
    <t>Гл.бухгалтер _______________________М.П.Преснякова</t>
  </si>
  <si>
    <t>Директор МБОУ СОШ №41</t>
  </si>
  <si>
    <t>Сайфетдинова Раиса Тагировна</t>
  </si>
  <si>
    <t>МБОУ СОШ № 41     г. Пензы</t>
  </si>
  <si>
    <t>Организация предоставления общедоступного и бесплатного начального общего, среднего (полного) общего образования по основным общеобразовательным программам</t>
  </si>
  <si>
    <t>вывоз мусора декабрь 2012г.</t>
  </si>
  <si>
    <t>Тех.обслуживание средств радиомодема прямой связи декабрь 2012г.</t>
  </si>
  <si>
    <t>тех.обслуживание ТС декабрь 2012г.</t>
  </si>
  <si>
    <t>т/обслуживание теплосчетчиков  декабрь 2012</t>
  </si>
  <si>
    <t>Директор МБОУ СОШ №41  г.Пензы _______________________Р.Т.Сайфетдинова</t>
  </si>
  <si>
    <t>Директор МБОУ СОШ № 41 г.Пензы____________________Р.Т.Сайфетдинова</t>
  </si>
  <si>
    <t>М.П.Преснякова</t>
  </si>
  <si>
    <t>Директор МБОУ СОШ №41   г.Пензы __________________Р.Т.Сайфетдинова</t>
  </si>
  <si>
    <t>Директор МБОУ  СОШ №41   г.Пензы ___________________Р.Т.Сайфетдинова</t>
  </si>
  <si>
    <r>
      <t xml:space="preserve">1. Наименование муниципального учререждения </t>
    </r>
    <r>
      <rPr>
        <u val="single"/>
        <sz val="11"/>
        <color indexed="8"/>
        <rFont val="Times New Roman"/>
        <family val="1"/>
      </rPr>
      <t xml:space="preserve">  Муниципальное бюджетное общеобразовательное учреждение Средняя общеобразовательная школа N 41 г. Пензы                                                                                                                     .</t>
    </r>
  </si>
  <si>
    <t>Директор МБОУ СОШ №41  г.Пензы</t>
  </si>
  <si>
    <t>Р.Т.Сайфетдинова</t>
  </si>
  <si>
    <t>тепловая  энергия (декабрь 2012)</t>
  </si>
  <si>
    <t>огнезащитная обработка</t>
  </si>
  <si>
    <t>Услуги охраны</t>
  </si>
  <si>
    <t>монтаж системы охранной сигнализации</t>
  </si>
  <si>
    <t>Монтаж системы охранной сигнализации</t>
  </si>
  <si>
    <t>продувка канализационной сети</t>
  </si>
  <si>
    <t>Приобретение материальные запасов</t>
  </si>
  <si>
    <t>первичное обучение</t>
  </si>
  <si>
    <t>текущая кз за декабрь 2013г.</t>
  </si>
  <si>
    <t>проверка и ремонт теплосчетчиков</t>
  </si>
  <si>
    <t>электроная отчетность</t>
  </si>
  <si>
    <t>перевыпуск сертификатов ЭЦП</t>
  </si>
  <si>
    <t>изготовления бланков аттестатов</t>
  </si>
  <si>
    <r>
      <t xml:space="preserve">на период с </t>
    </r>
    <r>
      <rPr>
        <u val="single"/>
        <sz val="11"/>
        <color indexed="8"/>
        <rFont val="Times New Roman"/>
        <family val="1"/>
      </rPr>
      <t xml:space="preserve">01.01.2014 </t>
    </r>
    <r>
      <rPr>
        <sz val="11"/>
        <color indexed="8"/>
        <rFont val="Times New Roman"/>
        <family val="1"/>
      </rPr>
      <t xml:space="preserve">  по </t>
    </r>
    <r>
      <rPr>
        <u val="single"/>
        <sz val="11"/>
        <color indexed="8"/>
        <rFont val="Times New Roman"/>
        <family val="1"/>
      </rPr>
      <t>31.12.2014</t>
    </r>
    <r>
      <rPr>
        <sz val="11"/>
        <color indexed="8"/>
        <rFont val="Times New Roman"/>
        <family val="1"/>
      </rPr>
      <t>.</t>
    </r>
  </si>
  <si>
    <t>Ведомственная целевая программа "Совершенствование организации питания детей в общеобразовательных учреждениях ( в том числе в пришкольных лагерях с дневным пребыванием) и учреждениях дошкольного образования, в отношении которых функции и полномочия учредителя осуществляет Управление образования города Пензы, на 2014-2016 годы"</t>
  </si>
  <si>
    <t>Ведомственная целевая программа развития "Укрепление материально-технической базы, проведение капитального ремонта и учреждений. В отношении которых функции и полномочия учредителя осуществляет Управление образования города Пензы, здания Управления образования города Пенгзы и обеспечение их безопасности на 2014-2016 годы"</t>
  </si>
  <si>
    <t xml:space="preserve"> затраты на доп. проф. образование педагогических работников</t>
  </si>
  <si>
    <t>Определение нормативных затрат по  _МБОУ СОШ №41 г. Пензы по месяцам.</t>
  </si>
  <si>
    <t xml:space="preserve"> Ведомственная целевая программа"Совершенствование организации питания детей в общеобразовательных учреждениях ( в том числе в пришкольных лагерях с дневным пребыванием) и учреждениях дошкольного образования, в отношении которых функции и полномочия учредителя осуществляет Управление образования города Пензы, на 2014-2016 годы"</t>
  </si>
  <si>
    <t>Ведомственная целевая программ развития "Укрепление материально-технической базы, проведение капитального ремонта зданий и учреждений, в отношении которых функции и полномочия учредителя осуществляет Управление образования города Пензы, и здания Управления образования города Пензы и обеспечение их безопасности на 2014-2016 годы"</t>
  </si>
  <si>
    <t>Субвенция по исполнению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полпечения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области"</t>
  </si>
  <si>
    <t>Субсидии на организацию отдыха детей в оздоровительных лагерях с дневным пребыванием в каникулярное время</t>
  </si>
  <si>
    <t>2014 год</t>
  </si>
  <si>
    <t>Субвенция по исполнению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</t>
  </si>
  <si>
    <t>Субсидии  на организацию отдыха детей в оздоровительных лагерях с дневным пребыванием в каникулярное время</t>
  </si>
  <si>
    <t>услуги охраны</t>
  </si>
  <si>
    <t>поверка ремонт теплосчетчиков де</t>
  </si>
  <si>
    <t>огезащитная обработка</t>
  </si>
  <si>
    <t>кол-во кварт.</t>
  </si>
  <si>
    <t>медосмотр жен.</t>
  </si>
  <si>
    <t>медосмотр жен. приш.лагерь</t>
  </si>
  <si>
    <t>УЗИ молочных желез</t>
  </si>
  <si>
    <t>медосмотр муж.</t>
  </si>
  <si>
    <t>медосмотр муж. приш.лагерь</t>
  </si>
  <si>
    <t>ренген</t>
  </si>
  <si>
    <t xml:space="preserve">медосмотр </t>
  </si>
  <si>
    <r>
      <t xml:space="preserve">за 1полугодие </t>
    </r>
    <r>
      <rPr>
        <u val="single"/>
        <sz val="12"/>
        <rFont val="Times New Roman"/>
        <family val="1"/>
      </rPr>
      <t>2014 год</t>
    </r>
  </si>
  <si>
    <t>Укомплектованность общеобразовательных учреждений педагогическими кадрами в соотвествии в лицензионными требованиями и штатным расписанием</t>
  </si>
  <si>
    <t>не менее 95%</t>
  </si>
  <si>
    <t>Удельный вес учащихсся, освоиввших программы начального общего, основного общего, среднего (полного) общего образования по результатам промежуточной аттестации</t>
  </si>
  <si>
    <t>не менее 90%</t>
  </si>
  <si>
    <t>Удельный вес выпускников 11 (12) классов общеобразовательных учреждений, получивших  аттестат о среднем (полном) общем образовании по результатам государственной (итоговой) аттестастации в форме единого государственного экзамена и государственного выпускного экзамена</t>
  </si>
  <si>
    <t>не менее 98%</t>
  </si>
  <si>
    <t>Удовлетворенность учащихся качеством обучения ( по итогам анкетирования)</t>
  </si>
  <si>
    <t>не ниже 85%</t>
  </si>
  <si>
    <t>Охват детей школьного возраста  всеми формами общего образования ( по итогам учета детей в микрорайоне ОУ)</t>
  </si>
  <si>
    <t>Оганизация предоставления общедоступного и бесплатного начального общего, основного общего,среднего (полного) общего образования по основным общеобразовательным программам</t>
  </si>
  <si>
    <t>Удовлетворительно</t>
  </si>
  <si>
    <t>не исполнение муниципального задания по "Организации предоставления общедоступного и бесплатного начального общего, основного общего, среднего(полного) общего образования по основным общеобразовательным программамв сумме 449 414,00 в связи с неработой интернета, и в сумме 59881,85 в в связи с отсутсвием фининсирования. По программно целевым - отсутвие финансировнаия</t>
  </si>
  <si>
    <r>
      <t>на период с</t>
    </r>
    <r>
      <rPr>
        <u val="single"/>
        <sz val="12"/>
        <rFont val="Times New Roman"/>
        <family val="1"/>
      </rPr>
      <t xml:space="preserve"> 01.01.2014 г.</t>
    </r>
    <r>
      <rPr>
        <sz val="12"/>
        <rFont val="Times New Roman"/>
        <family val="1"/>
      </rPr>
      <t xml:space="preserve">   по 30</t>
    </r>
    <r>
      <rPr>
        <u val="single"/>
        <sz val="12"/>
        <rFont val="Times New Roman"/>
        <family val="1"/>
      </rPr>
      <t>.06.2014 г.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</si>
</sst>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#,##0.00000"/>
    <numFmt numFmtId="170" formatCode="#,##0.000"/>
    <numFmt numFmtId="171" formatCode="0.0000000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u val="single"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u val="single"/>
      <sz val="12"/>
      <name val="Verdana"/>
      <family val="2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u val="single"/>
      <sz val="14"/>
      <name val="Arial Cyr"/>
      <family val="0"/>
    </font>
    <font>
      <b/>
      <sz val="10"/>
      <name val="Arial Cyr"/>
      <family val="0"/>
    </font>
    <font>
      <u val="single"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3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3"/>
      <color rgb="FFFF0000"/>
      <name val="Times New Roman"/>
      <family val="1"/>
    </font>
    <font>
      <b/>
      <sz val="8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/>
      <top style="mediumDashed"/>
      <bottom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15" fillId="0" borderId="0">
      <alignment/>
      <protection/>
    </xf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7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wrapText="1"/>
    </xf>
    <xf numFmtId="0" fontId="3" fillId="0" borderId="10" xfId="0" applyFont="1" applyBorder="1" applyAlignment="1">
      <alignment textRotation="90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0" fontId="15" fillId="0" borderId="0" xfId="52" applyAlignment="1">
      <alignment wrapText="1"/>
      <protection/>
    </xf>
    <xf numFmtId="0" fontId="15" fillId="0" borderId="0" xfId="52">
      <alignment/>
      <protection/>
    </xf>
    <xf numFmtId="0" fontId="17" fillId="0" borderId="0" xfId="52" applyFont="1" applyAlignment="1">
      <alignment wrapText="1"/>
      <protection/>
    </xf>
    <xf numFmtId="0" fontId="17" fillId="0" borderId="0" xfId="52" applyFont="1">
      <alignment/>
      <protection/>
    </xf>
    <xf numFmtId="0" fontId="18" fillId="0" borderId="0" xfId="52" applyFont="1" applyBorder="1" applyAlignment="1">
      <alignment horizontal="center" wrapText="1"/>
      <protection/>
    </xf>
    <xf numFmtId="0" fontId="8" fillId="0" borderId="0" xfId="52" applyFont="1" applyAlignment="1">
      <alignment wrapText="1"/>
      <protection/>
    </xf>
    <xf numFmtId="0" fontId="8" fillId="0" borderId="0" xfId="52" applyFont="1">
      <alignment/>
      <protection/>
    </xf>
    <xf numFmtId="0" fontId="8" fillId="0" borderId="10" xfId="52" applyFont="1" applyBorder="1" applyAlignment="1">
      <alignment wrapText="1"/>
      <protection/>
    </xf>
    <xf numFmtId="0" fontId="20" fillId="0" borderId="11" xfId="52" applyFont="1" applyBorder="1" applyAlignment="1">
      <alignment wrapText="1"/>
      <protection/>
    </xf>
    <xf numFmtId="0" fontId="8" fillId="0" borderId="12" xfId="52" applyFont="1" applyBorder="1" applyAlignment="1">
      <alignment wrapText="1"/>
      <protection/>
    </xf>
    <xf numFmtId="0" fontId="8" fillId="0" borderId="13" xfId="52" applyFont="1" applyBorder="1" applyAlignment="1">
      <alignment wrapText="1"/>
      <protection/>
    </xf>
    <xf numFmtId="0" fontId="8" fillId="0" borderId="14" xfId="52" applyFont="1" applyBorder="1" applyAlignment="1">
      <alignment wrapText="1"/>
      <protection/>
    </xf>
    <xf numFmtId="0" fontId="8" fillId="0" borderId="15" xfId="52" applyFont="1" applyBorder="1" applyAlignment="1">
      <alignment wrapText="1"/>
      <protection/>
    </xf>
    <xf numFmtId="0" fontId="8" fillId="0" borderId="16" xfId="52" applyFont="1" applyBorder="1" applyAlignment="1">
      <alignment wrapText="1"/>
      <protection/>
    </xf>
    <xf numFmtId="0" fontId="8" fillId="0" borderId="17" xfId="52" applyFont="1" applyBorder="1" applyAlignment="1">
      <alignment wrapText="1"/>
      <protection/>
    </xf>
    <xf numFmtId="0" fontId="15" fillId="0" borderId="0" xfId="52" applyAlignment="1">
      <alignment/>
      <protection/>
    </xf>
    <xf numFmtId="0" fontId="15" fillId="0" borderId="0" xfId="52" applyFont="1" applyAlignment="1">
      <alignment/>
      <protection/>
    </xf>
    <xf numFmtId="0" fontId="15" fillId="0" borderId="0" xfId="52" applyAlignment="1" applyProtection="1">
      <alignment/>
      <protection locked="0"/>
    </xf>
    <xf numFmtId="0" fontId="15" fillId="0" borderId="0" xfId="52" applyFont="1" applyFill="1">
      <alignment/>
      <protection/>
    </xf>
    <xf numFmtId="0" fontId="15" fillId="0" borderId="0" xfId="52" applyFont="1">
      <alignment/>
      <protection/>
    </xf>
    <xf numFmtId="0" fontId="15" fillId="0" borderId="0" xfId="52" applyFont="1" applyProtection="1">
      <alignment/>
      <protection locked="0"/>
    </xf>
    <xf numFmtId="0" fontId="15" fillId="0" borderId="0" xfId="52" applyProtection="1">
      <alignment/>
      <protection locked="0"/>
    </xf>
    <xf numFmtId="0" fontId="8" fillId="0" borderId="11" xfId="52" applyFont="1" applyBorder="1" applyAlignment="1">
      <alignment wrapText="1"/>
      <protection/>
    </xf>
    <xf numFmtId="0" fontId="8" fillId="0" borderId="18" xfId="52" applyFont="1" applyBorder="1" applyAlignment="1">
      <alignment wrapText="1"/>
      <protection/>
    </xf>
    <xf numFmtId="4" fontId="8" fillId="0" borderId="0" xfId="52" applyNumberFormat="1" applyFont="1" applyAlignment="1">
      <alignment wrapText="1"/>
      <protection/>
    </xf>
    <xf numFmtId="4" fontId="8" fillId="0" borderId="10" xfId="52" applyNumberFormat="1" applyFont="1" applyBorder="1" applyAlignment="1">
      <alignment wrapText="1"/>
      <protection/>
    </xf>
    <xf numFmtId="4" fontId="8" fillId="0" borderId="16" xfId="52" applyNumberFormat="1" applyFont="1" applyBorder="1" applyAlignment="1">
      <alignment wrapText="1"/>
      <protection/>
    </xf>
    <xf numFmtId="0" fontId="8" fillId="0" borderId="0" xfId="52" applyFont="1" applyBorder="1">
      <alignment/>
      <protection/>
    </xf>
    <xf numFmtId="4" fontId="8" fillId="0" borderId="14" xfId="52" applyNumberFormat="1" applyFont="1" applyBorder="1" applyAlignment="1">
      <alignment wrapText="1"/>
      <protection/>
    </xf>
    <xf numFmtId="0" fontId="8" fillId="33" borderId="10" xfId="52" applyFont="1" applyFill="1" applyBorder="1" applyAlignment="1">
      <alignment wrapText="1"/>
      <protection/>
    </xf>
    <xf numFmtId="0" fontId="8" fillId="0" borderId="0" xfId="52" applyFont="1" applyBorder="1" applyAlignment="1">
      <alignment wrapText="1"/>
      <protection/>
    </xf>
    <xf numFmtId="0" fontId="8" fillId="0" borderId="11" xfId="52" applyFont="1" applyBorder="1">
      <alignment/>
      <protection/>
    </xf>
    <xf numFmtId="0" fontId="20" fillId="0" borderId="12" xfId="52" applyFont="1" applyBorder="1" applyAlignment="1">
      <alignment wrapText="1"/>
      <protection/>
    </xf>
    <xf numFmtId="0" fontId="8" fillId="0" borderId="13" xfId="52" applyFont="1" applyBorder="1">
      <alignment/>
      <protection/>
    </xf>
    <xf numFmtId="0" fontId="8" fillId="0" borderId="15" xfId="52" applyFont="1" applyBorder="1">
      <alignment/>
      <protection/>
    </xf>
    <xf numFmtId="0" fontId="15" fillId="0" borderId="0" xfId="52" applyAlignment="1">
      <alignment horizontal="center"/>
      <protection/>
    </xf>
    <xf numFmtId="0" fontId="15" fillId="0" borderId="0" xfId="52" applyBorder="1" applyAlignment="1">
      <alignment horizontal="center"/>
      <protection/>
    </xf>
    <xf numFmtId="0" fontId="15" fillId="0" borderId="0" xfId="52" applyBorder="1">
      <alignment/>
      <protection/>
    </xf>
    <xf numFmtId="0" fontId="15" fillId="0" borderId="11" xfId="52" applyBorder="1" applyAlignment="1">
      <alignment wrapText="1"/>
      <protection/>
    </xf>
    <xf numFmtId="0" fontId="15" fillId="0" borderId="12" xfId="52" applyBorder="1" applyAlignment="1">
      <alignment wrapText="1"/>
      <protection/>
    </xf>
    <xf numFmtId="0" fontId="15" fillId="0" borderId="18" xfId="52" applyBorder="1" applyAlignment="1">
      <alignment wrapText="1"/>
      <protection/>
    </xf>
    <xf numFmtId="0" fontId="15" fillId="0" borderId="10" xfId="52" applyBorder="1">
      <alignment/>
      <protection/>
    </xf>
    <xf numFmtId="0" fontId="15" fillId="0" borderId="14" xfId="52" applyBorder="1">
      <alignment/>
      <protection/>
    </xf>
    <xf numFmtId="0" fontId="15" fillId="0" borderId="13" xfId="52" applyBorder="1" applyAlignment="1">
      <alignment wrapText="1"/>
      <protection/>
    </xf>
    <xf numFmtId="0" fontId="15" fillId="0" borderId="15" xfId="52" applyBorder="1" applyAlignment="1">
      <alignment wrapText="1"/>
      <protection/>
    </xf>
    <xf numFmtId="0" fontId="15" fillId="0" borderId="16" xfId="52" applyBorder="1">
      <alignment/>
      <protection/>
    </xf>
    <xf numFmtId="0" fontId="15" fillId="0" borderId="17" xfId="52" applyBorder="1">
      <alignment/>
      <protection/>
    </xf>
    <xf numFmtId="0" fontId="17" fillId="0" borderId="0" xfId="52" applyFont="1" applyAlignment="1">
      <alignment horizontal="center"/>
      <protection/>
    </xf>
    <xf numFmtId="0" fontId="8" fillId="0" borderId="19" xfId="52" applyFont="1" applyBorder="1" applyAlignment="1">
      <alignment wrapText="1"/>
      <protection/>
    </xf>
    <xf numFmtId="0" fontId="15" fillId="0" borderId="13" xfId="52" applyBorder="1">
      <alignment/>
      <protection/>
    </xf>
    <xf numFmtId="0" fontId="15" fillId="0" borderId="15" xfId="52" applyBorder="1">
      <alignment/>
      <protection/>
    </xf>
    <xf numFmtId="0" fontId="8" fillId="33" borderId="13" xfId="52" applyFont="1" applyFill="1" applyBorder="1" applyAlignment="1">
      <alignment vertical="top" wrapText="1"/>
      <protection/>
    </xf>
    <xf numFmtId="0" fontId="21" fillId="0" borderId="0" xfId="52" applyFont="1" applyAlignment="1">
      <alignment wrapText="1"/>
      <protection/>
    </xf>
    <xf numFmtId="0" fontId="21" fillId="0" borderId="11" xfId="52" applyFont="1" applyBorder="1" applyAlignment="1">
      <alignment wrapText="1"/>
      <protection/>
    </xf>
    <xf numFmtId="0" fontId="21" fillId="0" borderId="20" xfId="52" applyFont="1" applyBorder="1" applyAlignment="1">
      <alignment wrapText="1"/>
      <protection/>
    </xf>
    <xf numFmtId="0" fontId="8" fillId="0" borderId="21" xfId="52" applyFont="1" applyBorder="1" applyAlignment="1">
      <alignment horizontal="center" wrapText="1"/>
      <protection/>
    </xf>
    <xf numFmtId="0" fontId="8" fillId="0" borderId="21" xfId="52" applyFont="1" applyBorder="1" applyAlignment="1">
      <alignment horizontal="center"/>
      <protection/>
    </xf>
    <xf numFmtId="0" fontId="8" fillId="0" borderId="22" xfId="52" applyFont="1" applyBorder="1" applyAlignment="1">
      <alignment horizontal="center" wrapText="1"/>
      <protection/>
    </xf>
    <xf numFmtId="4" fontId="15" fillId="0" borderId="0" xfId="52" applyNumberFormat="1">
      <alignment/>
      <protection/>
    </xf>
    <xf numFmtId="0" fontId="15" fillId="0" borderId="11" xfId="52" applyFont="1" applyBorder="1" applyAlignment="1">
      <alignment wrapText="1"/>
      <protection/>
    </xf>
    <xf numFmtId="0" fontId="8" fillId="0" borderId="12" xfId="52" applyFont="1" applyBorder="1">
      <alignment/>
      <protection/>
    </xf>
    <xf numFmtId="0" fontId="15" fillId="0" borderId="0" xfId="52" applyFont="1" applyAlignment="1">
      <alignment wrapText="1"/>
      <protection/>
    </xf>
    <xf numFmtId="0" fontId="15" fillId="0" borderId="10" xfId="52" applyBorder="1" applyProtection="1">
      <alignment/>
      <protection locked="0"/>
    </xf>
    <xf numFmtId="10" fontId="15" fillId="0" borderId="10" xfId="52" applyNumberFormat="1" applyBorder="1">
      <alignment/>
      <protection/>
    </xf>
    <xf numFmtId="0" fontId="15" fillId="0" borderId="16" xfId="52" applyBorder="1" applyProtection="1">
      <alignment/>
      <protection locked="0"/>
    </xf>
    <xf numFmtId="0" fontId="24" fillId="0" borderId="0" xfId="52" applyFont="1" applyAlignment="1">
      <alignment vertical="center" wrapText="1"/>
      <protection/>
    </xf>
    <xf numFmtId="0" fontId="8" fillId="0" borderId="10" xfId="52" applyFont="1" applyBorder="1" applyAlignment="1">
      <alignment horizontal="center" wrapText="1"/>
      <protection/>
    </xf>
    <xf numFmtId="0" fontId="17" fillId="0" borderId="10" xfId="52" applyFont="1" applyBorder="1" applyAlignment="1">
      <alignment horizontal="center" wrapText="1"/>
      <protection/>
    </xf>
    <xf numFmtId="0" fontId="17" fillId="34" borderId="10" xfId="52" applyFont="1" applyFill="1" applyBorder="1" applyAlignment="1" applyProtection="1">
      <alignment horizontal="center" wrapText="1"/>
      <protection locked="0"/>
    </xf>
    <xf numFmtId="0" fontId="20" fillId="0" borderId="23" xfId="52" applyFont="1" applyBorder="1" applyAlignment="1">
      <alignment vertical="top" wrapText="1"/>
      <protection/>
    </xf>
    <xf numFmtId="0" fontId="20" fillId="0" borderId="24" xfId="52" applyFont="1" applyBorder="1" applyAlignment="1">
      <alignment vertical="top" wrapText="1"/>
      <protection/>
    </xf>
    <xf numFmtId="0" fontId="20" fillId="0" borderId="25" xfId="52" applyFont="1" applyBorder="1" applyAlignment="1">
      <alignment vertical="top" wrapText="1"/>
      <protection/>
    </xf>
    <xf numFmtId="0" fontId="20" fillId="0" borderId="11" xfId="52" applyFont="1" applyBorder="1" applyAlignment="1">
      <alignment vertical="top" wrapText="1"/>
      <protection/>
    </xf>
    <xf numFmtId="0" fontId="8" fillId="0" borderId="12" xfId="52" applyFont="1" applyBorder="1" applyAlignment="1">
      <alignment horizontal="center" vertical="top" wrapText="1"/>
      <protection/>
    </xf>
    <xf numFmtId="0" fontId="8" fillId="0" borderId="26" xfId="52" applyFont="1" applyBorder="1" applyAlignment="1">
      <alignment horizontal="center" vertical="top" wrapText="1"/>
      <protection/>
    </xf>
    <xf numFmtId="4" fontId="8" fillId="0" borderId="18" xfId="52" applyNumberFormat="1" applyFont="1" applyBorder="1" applyAlignment="1">
      <alignment horizontal="center" vertical="top" wrapText="1"/>
      <protection/>
    </xf>
    <xf numFmtId="0" fontId="20" fillId="0" borderId="13" xfId="52" applyFont="1" applyBorder="1" applyAlignment="1">
      <alignment vertical="top" wrapText="1"/>
      <protection/>
    </xf>
    <xf numFmtId="0" fontId="8" fillId="0" borderId="10" xfId="52" applyFont="1" applyBorder="1" applyAlignment="1">
      <alignment horizontal="center" vertical="top" wrapText="1"/>
      <protection/>
    </xf>
    <xf numFmtId="0" fontId="8" fillId="0" borderId="27" xfId="52" applyFont="1" applyBorder="1" applyAlignment="1">
      <alignment horizontal="center" vertical="top" wrapText="1"/>
      <protection/>
    </xf>
    <xf numFmtId="0" fontId="8" fillId="0" borderId="28" xfId="52" applyFont="1" applyBorder="1" applyAlignment="1">
      <alignment horizontal="center" vertical="top" wrapText="1"/>
      <protection/>
    </xf>
    <xf numFmtId="4" fontId="8" fillId="0" borderId="29" xfId="52" applyNumberFormat="1" applyFont="1" applyBorder="1" applyAlignment="1">
      <alignment horizontal="center" vertical="top" wrapText="1"/>
      <protection/>
    </xf>
    <xf numFmtId="0" fontId="20" fillId="0" borderId="13" xfId="52" applyFont="1" applyBorder="1" applyAlignment="1">
      <alignment wrapText="1"/>
      <protection/>
    </xf>
    <xf numFmtId="0" fontId="20" fillId="35" borderId="15" xfId="52" applyFont="1" applyFill="1" applyBorder="1" applyAlignment="1">
      <alignment wrapText="1"/>
      <protection/>
    </xf>
    <xf numFmtId="0" fontId="8" fillId="35" borderId="16" xfId="52" applyFont="1" applyFill="1" applyBorder="1" applyAlignment="1">
      <alignment horizontal="center" vertical="top" wrapText="1"/>
      <protection/>
    </xf>
    <xf numFmtId="4" fontId="8" fillId="35" borderId="17" xfId="52" applyNumberFormat="1" applyFont="1" applyFill="1" applyBorder="1" applyAlignment="1">
      <alignment horizontal="center" vertical="top" wrapText="1"/>
      <protection/>
    </xf>
    <xf numFmtId="0" fontId="15" fillId="35" borderId="0" xfId="52" applyFont="1" applyFill="1">
      <alignment/>
      <protection/>
    </xf>
    <xf numFmtId="0" fontId="15" fillId="33" borderId="0" xfId="52" applyFont="1" applyFill="1">
      <alignment/>
      <protection/>
    </xf>
    <xf numFmtId="4" fontId="8" fillId="0" borderId="14" xfId="52" applyNumberFormat="1" applyFont="1" applyBorder="1" applyAlignment="1">
      <alignment horizontal="center" vertical="top" wrapText="1"/>
      <protection/>
    </xf>
    <xf numFmtId="0" fontId="20" fillId="0" borderId="30" xfId="52" applyFont="1" applyBorder="1" applyAlignment="1">
      <alignment vertical="top" wrapText="1"/>
      <protection/>
    </xf>
    <xf numFmtId="0" fontId="20" fillId="35" borderId="15" xfId="52" applyFont="1" applyFill="1" applyBorder="1" applyAlignment="1">
      <alignment vertical="top" wrapText="1"/>
      <protection/>
    </xf>
    <xf numFmtId="0" fontId="19" fillId="0" borderId="31" xfId="52" applyFont="1" applyBorder="1" applyAlignment="1">
      <alignment horizontal="center" vertical="top" wrapText="1"/>
      <protection/>
    </xf>
    <xf numFmtId="0" fontId="15" fillId="0" borderId="0" xfId="52" applyFill="1">
      <alignment/>
      <protection/>
    </xf>
    <xf numFmtId="0" fontId="8" fillId="0" borderId="13" xfId="52" applyFont="1" applyBorder="1" applyAlignment="1">
      <alignment vertical="top" wrapText="1"/>
      <protection/>
    </xf>
    <xf numFmtId="0" fontId="8" fillId="0" borderId="10" xfId="52" applyFont="1" applyBorder="1" applyAlignment="1">
      <alignment vertical="top" wrapText="1"/>
      <protection/>
    </xf>
    <xf numFmtId="0" fontId="8" fillId="35" borderId="15" xfId="52" applyFont="1" applyFill="1" applyBorder="1" applyAlignment="1">
      <alignment vertical="top" wrapText="1"/>
      <protection/>
    </xf>
    <xf numFmtId="0" fontId="8" fillId="35" borderId="16" xfId="52" applyFont="1" applyFill="1" applyBorder="1" applyAlignment="1">
      <alignment vertical="top" wrapText="1"/>
      <protection/>
    </xf>
    <xf numFmtId="0" fontId="8" fillId="0" borderId="11" xfId="52" applyFont="1" applyBorder="1" applyAlignment="1">
      <alignment vertical="top" wrapText="1"/>
      <protection/>
    </xf>
    <xf numFmtId="0" fontId="8" fillId="0" borderId="18" xfId="52" applyFont="1" applyBorder="1" applyAlignment="1">
      <alignment horizontal="center" vertical="top" wrapText="1"/>
      <protection/>
    </xf>
    <xf numFmtId="0" fontId="8" fillId="0" borderId="14" xfId="52" applyFont="1" applyBorder="1" applyAlignment="1">
      <alignment vertical="top" wrapText="1"/>
      <protection/>
    </xf>
    <xf numFmtId="0" fontId="8" fillId="0" borderId="14" xfId="52" applyFont="1" applyBorder="1" applyAlignment="1">
      <alignment horizontal="center" vertical="top" wrapText="1"/>
      <protection/>
    </xf>
    <xf numFmtId="0" fontId="8" fillId="35" borderId="17" xfId="52" applyFont="1" applyFill="1" applyBorder="1" applyAlignment="1">
      <alignment horizontal="center" vertical="top" wrapText="1"/>
      <protection/>
    </xf>
    <xf numFmtId="0" fontId="8" fillId="0" borderId="12" xfId="52" applyFont="1" applyBorder="1" applyAlignment="1">
      <alignment vertical="top" wrapText="1"/>
      <protection/>
    </xf>
    <xf numFmtId="0" fontId="8" fillId="0" borderId="19" xfId="52" applyFont="1" applyBorder="1" applyAlignment="1">
      <alignment vertical="top" wrapText="1"/>
      <protection/>
    </xf>
    <xf numFmtId="0" fontId="8" fillId="0" borderId="27" xfId="52" applyFont="1" applyBorder="1" applyAlignment="1">
      <alignment vertical="top" wrapText="1"/>
      <protection/>
    </xf>
    <xf numFmtId="0" fontId="8" fillId="0" borderId="32" xfId="52" applyFont="1" applyBorder="1" applyAlignment="1">
      <alignment horizontal="center" vertical="top" wrapText="1"/>
      <protection/>
    </xf>
    <xf numFmtId="0" fontId="8" fillId="36" borderId="15" xfId="52" applyFont="1" applyFill="1" applyBorder="1" applyAlignment="1">
      <alignment vertical="top" wrapText="1"/>
      <protection/>
    </xf>
    <xf numFmtId="0" fontId="8" fillId="36" borderId="16" xfId="52" applyFont="1" applyFill="1" applyBorder="1" applyAlignment="1">
      <alignment vertical="top" wrapText="1"/>
      <protection/>
    </xf>
    <xf numFmtId="0" fontId="8" fillId="36" borderId="17" xfId="52" applyFont="1" applyFill="1" applyBorder="1" applyAlignment="1">
      <alignment horizontal="center" vertical="top" wrapText="1"/>
      <protection/>
    </xf>
    <xf numFmtId="0" fontId="15" fillId="36" borderId="0" xfId="52" applyFont="1" applyFill="1">
      <alignment/>
      <protection/>
    </xf>
    <xf numFmtId="0" fontId="8" fillId="33" borderId="11" xfId="52" applyFont="1" applyFill="1" applyBorder="1" applyAlignment="1">
      <alignment vertical="top" wrapText="1"/>
      <protection/>
    </xf>
    <xf numFmtId="0" fontId="8" fillId="33" borderId="12" xfId="52" applyFont="1" applyFill="1" applyBorder="1" applyAlignment="1">
      <alignment horizontal="center" vertical="top" wrapText="1"/>
      <protection/>
    </xf>
    <xf numFmtId="0" fontId="8" fillId="33" borderId="12" xfId="52" applyFont="1" applyFill="1" applyBorder="1" applyAlignment="1">
      <alignment vertical="top" wrapText="1"/>
      <protection/>
    </xf>
    <xf numFmtId="0" fontId="8" fillId="33" borderId="10" xfId="52" applyFont="1" applyFill="1" applyBorder="1" applyAlignment="1">
      <alignment horizontal="center" vertical="top" wrapText="1"/>
      <protection/>
    </xf>
    <xf numFmtId="0" fontId="8" fillId="33" borderId="10" xfId="52" applyFont="1" applyFill="1" applyBorder="1" applyAlignment="1">
      <alignment vertical="top" wrapText="1"/>
      <protection/>
    </xf>
    <xf numFmtId="4" fontId="8" fillId="33" borderId="18" xfId="52" applyNumberFormat="1" applyFont="1" applyFill="1" applyBorder="1" applyAlignment="1">
      <alignment horizontal="center" vertical="top" wrapText="1"/>
      <protection/>
    </xf>
    <xf numFmtId="4" fontId="8" fillId="33" borderId="14" xfId="52" applyNumberFormat="1" applyFont="1" applyFill="1" applyBorder="1" applyAlignment="1">
      <alignment horizontal="center" vertical="top" wrapText="1"/>
      <protection/>
    </xf>
    <xf numFmtId="0" fontId="8" fillId="33" borderId="15" xfId="52" applyFont="1" applyFill="1" applyBorder="1" applyAlignment="1">
      <alignment vertical="top" wrapText="1"/>
      <protection/>
    </xf>
    <xf numFmtId="0" fontId="8" fillId="0" borderId="16" xfId="52" applyFont="1" applyBorder="1" applyAlignment="1">
      <alignment horizontal="center" vertical="top" wrapText="1"/>
      <protection/>
    </xf>
    <xf numFmtId="0" fontId="8" fillId="33" borderId="16" xfId="52" applyFont="1" applyFill="1" applyBorder="1" applyAlignment="1">
      <alignment vertical="top" wrapText="1"/>
      <protection/>
    </xf>
    <xf numFmtId="0" fontId="8" fillId="0" borderId="33" xfId="52" applyFont="1" applyBorder="1" applyAlignment="1">
      <alignment horizontal="center" vertical="top" wrapText="1"/>
      <protection/>
    </xf>
    <xf numFmtId="4" fontId="8" fillId="33" borderId="17" xfId="52" applyNumberFormat="1" applyFont="1" applyFill="1" applyBorder="1" applyAlignment="1">
      <alignment horizontal="center" vertical="top" wrapText="1"/>
      <protection/>
    </xf>
    <xf numFmtId="0" fontId="8" fillId="35" borderId="28" xfId="52" applyFont="1" applyFill="1" applyBorder="1" applyAlignment="1">
      <alignment vertical="top" wrapText="1"/>
      <protection/>
    </xf>
    <xf numFmtId="4" fontId="8" fillId="35" borderId="28" xfId="52" applyNumberFormat="1" applyFont="1" applyFill="1" applyBorder="1" applyAlignment="1">
      <alignment horizontal="center" vertical="top" wrapText="1"/>
      <protection/>
    </xf>
    <xf numFmtId="2" fontId="8" fillId="0" borderId="12" xfId="52" applyNumberFormat="1" applyFont="1" applyBorder="1" applyAlignment="1">
      <alignment horizontal="center" vertical="top" wrapText="1"/>
      <protection/>
    </xf>
    <xf numFmtId="2" fontId="8" fillId="0" borderId="10" xfId="52" applyNumberFormat="1" applyFont="1" applyBorder="1" applyAlignment="1">
      <alignment horizontal="center" vertical="top" wrapText="1"/>
      <protection/>
    </xf>
    <xf numFmtId="0" fontId="8" fillId="37" borderId="15" xfId="52" applyFont="1" applyFill="1" applyBorder="1" applyAlignment="1">
      <alignment vertical="top" wrapText="1"/>
      <protection/>
    </xf>
    <xf numFmtId="0" fontId="8" fillId="37" borderId="16" xfId="52" applyFont="1" applyFill="1" applyBorder="1" applyAlignment="1">
      <alignment horizontal="center" vertical="top" wrapText="1"/>
      <protection/>
    </xf>
    <xf numFmtId="4" fontId="8" fillId="37" borderId="17" xfId="52" applyNumberFormat="1" applyFont="1" applyFill="1" applyBorder="1" applyAlignment="1">
      <alignment horizontal="center" vertical="top" wrapText="1"/>
      <protection/>
    </xf>
    <xf numFmtId="0" fontId="8" fillId="37" borderId="16" xfId="52" applyFont="1" applyFill="1" applyBorder="1" applyAlignment="1">
      <alignment vertical="top" wrapText="1"/>
      <protection/>
    </xf>
    <xf numFmtId="0" fontId="8" fillId="38" borderId="23" xfId="52" applyFont="1" applyFill="1" applyBorder="1" applyAlignment="1">
      <alignment vertical="top" wrapText="1"/>
      <protection/>
    </xf>
    <xf numFmtId="0" fontId="8" fillId="38" borderId="24" xfId="52" applyFont="1" applyFill="1" applyBorder="1" applyAlignment="1">
      <alignment vertical="top" wrapText="1"/>
      <protection/>
    </xf>
    <xf numFmtId="4" fontId="8" fillId="38" borderId="24" xfId="52" applyNumberFormat="1" applyFont="1" applyFill="1" applyBorder="1" applyAlignment="1">
      <alignment horizontal="center" vertical="top" wrapText="1"/>
      <protection/>
    </xf>
    <xf numFmtId="4" fontId="8" fillId="38" borderId="25" xfId="52" applyNumberFormat="1" applyFont="1" applyFill="1" applyBorder="1" applyAlignment="1">
      <alignment horizontal="center" vertical="top" wrapText="1"/>
      <protection/>
    </xf>
    <xf numFmtId="0" fontId="15" fillId="38" borderId="0" xfId="52" applyFont="1" applyFill="1">
      <alignment/>
      <protection/>
    </xf>
    <xf numFmtId="10" fontId="8" fillId="0" borderId="12" xfId="52" applyNumberFormat="1" applyFont="1" applyBorder="1" applyAlignment="1">
      <alignment horizontal="center" vertical="top" wrapText="1"/>
      <protection/>
    </xf>
    <xf numFmtId="10" fontId="8" fillId="0" borderId="10" xfId="52" applyNumberFormat="1" applyFont="1" applyBorder="1" applyAlignment="1">
      <alignment horizontal="center" vertical="top" wrapText="1"/>
      <protection/>
    </xf>
    <xf numFmtId="49" fontId="8" fillId="0" borderId="13" xfId="52" applyNumberFormat="1" applyFont="1" applyBorder="1" applyAlignment="1">
      <alignment vertical="top" wrapText="1"/>
      <protection/>
    </xf>
    <xf numFmtId="0" fontId="8" fillId="39" borderId="15" xfId="52" applyFont="1" applyFill="1" applyBorder="1" applyAlignment="1">
      <alignment vertical="top" wrapText="1"/>
      <protection/>
    </xf>
    <xf numFmtId="0" fontId="8" fillId="39" borderId="16" xfId="52" applyFont="1" applyFill="1" applyBorder="1" applyAlignment="1">
      <alignment horizontal="center" vertical="top" wrapText="1"/>
      <protection/>
    </xf>
    <xf numFmtId="10" fontId="8" fillId="39" borderId="16" xfId="52" applyNumberFormat="1" applyFont="1" applyFill="1" applyBorder="1" applyAlignment="1">
      <alignment horizontal="center" vertical="top" wrapText="1"/>
      <protection/>
    </xf>
    <xf numFmtId="2" fontId="8" fillId="39" borderId="16" xfId="52" applyNumberFormat="1" applyFont="1" applyFill="1" applyBorder="1" applyAlignment="1">
      <alignment horizontal="center" vertical="top" wrapText="1"/>
      <protection/>
    </xf>
    <xf numFmtId="4" fontId="8" fillId="39" borderId="17" xfId="52" applyNumberFormat="1" applyFont="1" applyFill="1" applyBorder="1" applyAlignment="1">
      <alignment horizontal="center" vertical="top" wrapText="1"/>
      <protection/>
    </xf>
    <xf numFmtId="0" fontId="15" fillId="37" borderId="0" xfId="52" applyFont="1" applyFill="1">
      <alignment/>
      <protection/>
    </xf>
    <xf numFmtId="0" fontId="28" fillId="0" borderId="23" xfId="52" applyFont="1" applyFill="1" applyBorder="1" applyAlignment="1">
      <alignment vertical="top" wrapText="1"/>
      <protection/>
    </xf>
    <xf numFmtId="0" fontId="15" fillId="0" borderId="24" xfId="52" applyFont="1" applyBorder="1">
      <alignment/>
      <protection/>
    </xf>
    <xf numFmtId="4" fontId="28" fillId="0" borderId="24" xfId="52" applyNumberFormat="1" applyFont="1" applyBorder="1" applyAlignment="1">
      <alignment horizontal="center"/>
      <protection/>
    </xf>
    <xf numFmtId="0" fontId="28" fillId="0" borderId="24" xfId="52" applyFont="1" applyBorder="1">
      <alignment/>
      <protection/>
    </xf>
    <xf numFmtId="4" fontId="28" fillId="0" borderId="25" xfId="52" applyNumberFormat="1" applyFont="1" applyBorder="1" applyAlignment="1">
      <alignment horizontal="center"/>
      <protection/>
    </xf>
    <xf numFmtId="4" fontId="15" fillId="0" borderId="0" xfId="52" applyNumberFormat="1" applyFont="1" applyAlignment="1">
      <alignment horizontal="center"/>
      <protection/>
    </xf>
    <xf numFmtId="4" fontId="15" fillId="0" borderId="0" xfId="52" applyNumberFormat="1" applyFont="1">
      <alignment/>
      <protection/>
    </xf>
    <xf numFmtId="0" fontId="30" fillId="0" borderId="10" xfId="52" applyFont="1" applyBorder="1">
      <alignment/>
      <protection/>
    </xf>
    <xf numFmtId="4" fontId="30" fillId="0" borderId="10" xfId="52" applyNumberFormat="1" applyFont="1" applyBorder="1">
      <alignment/>
      <protection/>
    </xf>
    <xf numFmtId="4" fontId="30" fillId="0" borderId="0" xfId="52" applyNumberFormat="1" applyFont="1" applyProtection="1">
      <alignment/>
      <protection locked="0"/>
    </xf>
    <xf numFmtId="0" fontId="30" fillId="0" borderId="0" xfId="52" applyFont="1" applyProtection="1">
      <alignment/>
      <protection locked="0"/>
    </xf>
    <xf numFmtId="0" fontId="30" fillId="0" borderId="0" xfId="52" applyFont="1">
      <alignment/>
      <protection/>
    </xf>
    <xf numFmtId="4" fontId="15" fillId="0" borderId="10" xfId="52" applyNumberFormat="1" applyBorder="1">
      <alignment/>
      <protection/>
    </xf>
    <xf numFmtId="49" fontId="30" fillId="0" borderId="10" xfId="52" applyNumberFormat="1" applyFont="1" applyBorder="1" applyAlignment="1">
      <alignment horizontal="right"/>
      <protection/>
    </xf>
    <xf numFmtId="4" fontId="15" fillId="0" borderId="10" xfId="52" applyNumberFormat="1" applyFont="1" applyBorder="1">
      <alignment/>
      <protection/>
    </xf>
    <xf numFmtId="0" fontId="8" fillId="0" borderId="0" xfId="52" applyFont="1" applyBorder="1" applyAlignment="1">
      <alignment horizontal="center"/>
      <protection/>
    </xf>
    <xf numFmtId="0" fontId="8" fillId="0" borderId="10" xfId="52" applyFont="1" applyBorder="1">
      <alignment/>
      <protection/>
    </xf>
    <xf numFmtId="0" fontId="8" fillId="0" borderId="14" xfId="52" applyFont="1" applyBorder="1">
      <alignment/>
      <protection/>
    </xf>
    <xf numFmtId="0" fontId="8" fillId="0" borderId="16" xfId="52" applyFont="1" applyBorder="1">
      <alignment/>
      <protection/>
    </xf>
    <xf numFmtId="0" fontId="8" fillId="0" borderId="17" xfId="52" applyFont="1" applyBorder="1">
      <alignment/>
      <protection/>
    </xf>
    <xf numFmtId="0" fontId="8" fillId="0" borderId="27" xfId="52" applyFont="1" applyBorder="1">
      <alignment/>
      <protection/>
    </xf>
    <xf numFmtId="0" fontId="8" fillId="0" borderId="0" xfId="52" applyFont="1" applyAlignment="1">
      <alignment/>
      <protection/>
    </xf>
    <xf numFmtId="0" fontId="8" fillId="0" borderId="0" xfId="52" applyFont="1" applyAlignment="1" applyProtection="1">
      <alignment/>
      <protection locked="0"/>
    </xf>
    <xf numFmtId="0" fontId="8" fillId="0" borderId="0" xfId="52" applyFont="1" applyFill="1">
      <alignment/>
      <protection/>
    </xf>
    <xf numFmtId="0" fontId="8" fillId="0" borderId="0" xfId="52" applyFont="1" applyProtection="1">
      <alignment/>
      <protection locked="0"/>
    </xf>
    <xf numFmtId="0" fontId="8" fillId="0" borderId="10" xfId="0" applyFont="1" applyBorder="1" applyAlignment="1">
      <alignment/>
    </xf>
    <xf numFmtId="0" fontId="8" fillId="40" borderId="10" xfId="0" applyFont="1" applyFill="1" applyBorder="1" applyAlignment="1">
      <alignment/>
    </xf>
    <xf numFmtId="4" fontId="8" fillId="0" borderId="10" xfId="0" applyNumberFormat="1" applyFont="1" applyBorder="1" applyAlignment="1">
      <alignment wrapText="1"/>
    </xf>
    <xf numFmtId="0" fontId="13" fillId="0" borderId="10" xfId="52" applyFont="1" applyBorder="1" applyAlignment="1">
      <alignment wrapText="1"/>
      <protection/>
    </xf>
    <xf numFmtId="0" fontId="8" fillId="0" borderId="10" xfId="52" applyFont="1" applyBorder="1" applyAlignment="1">
      <alignment/>
      <protection/>
    </xf>
    <xf numFmtId="4" fontId="8" fillId="0" borderId="10" xfId="52" applyNumberFormat="1" applyFont="1" applyFill="1" applyBorder="1" applyAlignment="1">
      <alignment wrapText="1"/>
      <protection/>
    </xf>
    <xf numFmtId="4" fontId="8" fillId="0" borderId="17" xfId="52" applyNumberFormat="1" applyFont="1" applyBorder="1" applyAlignment="1">
      <alignment wrapText="1"/>
      <protection/>
    </xf>
    <xf numFmtId="4" fontId="8" fillId="35" borderId="16" xfId="52" applyNumberFormat="1" applyFont="1" applyFill="1" applyBorder="1" applyAlignment="1">
      <alignment horizontal="center" vertical="top" wrapText="1"/>
      <protection/>
    </xf>
    <xf numFmtId="4" fontId="8" fillId="0" borderId="18" xfId="52" applyNumberFormat="1" applyFont="1" applyBorder="1" applyAlignment="1">
      <alignment horizontal="center"/>
      <protection/>
    </xf>
    <xf numFmtId="4" fontId="8" fillId="0" borderId="14" xfId="52" applyNumberFormat="1" applyFont="1" applyBorder="1" applyAlignment="1">
      <alignment horizontal="center"/>
      <protection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3" fillId="11" borderId="10" xfId="0" applyFont="1" applyFill="1" applyBorder="1" applyAlignment="1" applyProtection="1">
      <alignment/>
      <protection locked="0"/>
    </xf>
    <xf numFmtId="4" fontId="3" fillId="5" borderId="10" xfId="0" applyNumberFormat="1" applyFont="1" applyFill="1" applyBorder="1" applyAlignment="1" applyProtection="1">
      <alignment/>
      <protection locked="0"/>
    </xf>
    <xf numFmtId="0" fontId="3" fillId="0" borderId="10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/>
      <protection locked="0"/>
    </xf>
    <xf numFmtId="0" fontId="3" fillId="11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4" fontId="34" fillId="0" borderId="0" xfId="0" applyNumberFormat="1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4" fontId="3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41" borderId="10" xfId="0" applyFont="1" applyFill="1" applyBorder="1" applyAlignment="1">
      <alignment/>
    </xf>
    <xf numFmtId="0" fontId="34" fillId="19" borderId="0" xfId="0" applyFont="1" applyFill="1" applyBorder="1" applyAlignment="1">
      <alignment/>
    </xf>
    <xf numFmtId="0" fontId="3" fillId="19" borderId="0" xfId="0" applyFont="1" applyFill="1" applyBorder="1" applyAlignment="1">
      <alignment/>
    </xf>
    <xf numFmtId="0" fontId="34" fillId="0" borderId="0" xfId="0" applyFont="1" applyFill="1" applyBorder="1" applyAlignment="1" applyProtection="1">
      <alignment/>
      <protection locked="0"/>
    </xf>
    <xf numFmtId="4" fontId="34" fillId="0" borderId="0" xfId="0" applyNumberFormat="1" applyFont="1" applyFill="1" applyBorder="1" applyAlignment="1" applyProtection="1">
      <alignment/>
      <protection locked="0"/>
    </xf>
    <xf numFmtId="0" fontId="3" fillId="19" borderId="0" xfId="0" applyFont="1" applyFill="1" applyAlignment="1">
      <alignment/>
    </xf>
    <xf numFmtId="0" fontId="34" fillId="42" borderId="0" xfId="0" applyFont="1" applyFill="1" applyBorder="1" applyAlignment="1">
      <alignment/>
    </xf>
    <xf numFmtId="0" fontId="34" fillId="42" borderId="0" xfId="0" applyFont="1" applyFill="1" applyBorder="1" applyAlignment="1" applyProtection="1">
      <alignment/>
      <protection locked="0"/>
    </xf>
    <xf numFmtId="0" fontId="34" fillId="42" borderId="0" xfId="0" applyFont="1" applyFill="1" applyBorder="1" applyAlignment="1" applyProtection="1">
      <alignment/>
      <protection locked="0"/>
    </xf>
    <xf numFmtId="0" fontId="3" fillId="42" borderId="10" xfId="0" applyFont="1" applyFill="1" applyBorder="1" applyAlignment="1">
      <alignment/>
    </xf>
    <xf numFmtId="4" fontId="35" fillId="5" borderId="10" xfId="0" applyNumberFormat="1" applyFont="1" applyFill="1" applyBorder="1" applyAlignment="1">
      <alignment/>
    </xf>
    <xf numFmtId="4" fontId="35" fillId="42" borderId="10" xfId="0" applyNumberFormat="1" applyFont="1" applyFill="1" applyBorder="1" applyAlignment="1">
      <alignment/>
    </xf>
    <xf numFmtId="4" fontId="35" fillId="0" borderId="1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43" borderId="0" xfId="0" applyFont="1" applyFill="1" applyAlignment="1" applyProtection="1">
      <alignment/>
      <protection locked="0"/>
    </xf>
    <xf numFmtId="4" fontId="3" fillId="43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justify"/>
    </xf>
    <xf numFmtId="0" fontId="13" fillId="0" borderId="0" xfId="0" applyFont="1" applyFill="1" applyAlignment="1">
      <alignment/>
    </xf>
    <xf numFmtId="0" fontId="37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/>
    </xf>
    <xf numFmtId="169" fontId="13" fillId="44" borderId="10" xfId="0" applyNumberFormat="1" applyFont="1" applyFill="1" applyBorder="1" applyAlignment="1">
      <alignment horizontal="right"/>
    </xf>
    <xf numFmtId="169" fontId="8" fillId="45" borderId="10" xfId="0" applyNumberFormat="1" applyFont="1" applyFill="1" applyBorder="1" applyAlignment="1">
      <alignment/>
    </xf>
    <xf numFmtId="0" fontId="74" fillId="45" borderId="0" xfId="0" applyFont="1" applyFill="1" applyAlignment="1">
      <alignment/>
    </xf>
    <xf numFmtId="169" fontId="8" fillId="0" borderId="10" xfId="0" applyNumberFormat="1" applyFont="1" applyFill="1" applyBorder="1" applyAlignment="1">
      <alignment/>
    </xf>
    <xf numFmtId="0" fontId="74" fillId="44" borderId="0" xfId="0" applyFont="1" applyFill="1" applyAlignment="1">
      <alignment/>
    </xf>
    <xf numFmtId="170" fontId="6" fillId="0" borderId="0" xfId="0" applyNumberFormat="1" applyFont="1" applyFill="1" applyAlignment="1">
      <alignment/>
    </xf>
    <xf numFmtId="170" fontId="38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170" fontId="72" fillId="0" borderId="0" xfId="0" applyNumberFormat="1" applyFont="1" applyFill="1" applyAlignment="1">
      <alignment/>
    </xf>
    <xf numFmtId="0" fontId="76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/>
    </xf>
    <xf numFmtId="0" fontId="74" fillId="0" borderId="10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wrapText="1"/>
    </xf>
    <xf numFmtId="0" fontId="74" fillId="0" borderId="0" xfId="0" applyFont="1" applyFill="1" applyBorder="1" applyAlignment="1">
      <alignment/>
    </xf>
    <xf numFmtId="0" fontId="77" fillId="0" borderId="0" xfId="0" applyFont="1" applyFill="1" applyAlignment="1">
      <alignment/>
    </xf>
    <xf numFmtId="0" fontId="77" fillId="0" borderId="34" xfId="0" applyFont="1" applyFill="1" applyBorder="1" applyAlignment="1">
      <alignment horizontal="right"/>
    </xf>
    <xf numFmtId="0" fontId="77" fillId="0" borderId="34" xfId="0" applyFont="1" applyFill="1" applyBorder="1" applyAlignment="1">
      <alignment/>
    </xf>
    <xf numFmtId="0" fontId="74" fillId="0" borderId="35" xfId="0" applyFont="1" applyFill="1" applyBorder="1" applyAlignment="1">
      <alignment/>
    </xf>
    <xf numFmtId="0" fontId="74" fillId="0" borderId="36" xfId="0" applyFont="1" applyFill="1" applyBorder="1" applyAlignment="1">
      <alignment/>
    </xf>
    <xf numFmtId="0" fontId="74" fillId="0" borderId="35" xfId="0" applyFont="1" applyFill="1" applyBorder="1" applyAlignment="1">
      <alignment/>
    </xf>
    <xf numFmtId="0" fontId="39" fillId="0" borderId="0" xfId="0" applyFont="1" applyFill="1" applyAlignment="1">
      <alignment/>
    </xf>
    <xf numFmtId="0" fontId="38" fillId="0" borderId="0" xfId="0" applyFont="1" applyFill="1" applyAlignment="1">
      <alignment/>
    </xf>
    <xf numFmtId="14" fontId="6" fillId="0" borderId="35" xfId="0" applyNumberFormat="1" applyFont="1" applyFill="1" applyBorder="1" applyAlignment="1">
      <alignment/>
    </xf>
    <xf numFmtId="0" fontId="8" fillId="0" borderId="35" xfId="0" applyFont="1" applyFill="1" applyBorder="1" applyAlignment="1">
      <alignment/>
    </xf>
    <xf numFmtId="0" fontId="78" fillId="0" borderId="0" xfId="0" applyFont="1" applyFill="1" applyAlignment="1">
      <alignment/>
    </xf>
    <xf numFmtId="0" fontId="72" fillId="0" borderId="0" xfId="0" applyFont="1" applyFill="1" applyAlignment="1">
      <alignment/>
    </xf>
    <xf numFmtId="4" fontId="15" fillId="0" borderId="0" xfId="52" applyNumberFormat="1" applyFont="1" applyFill="1">
      <alignment/>
      <protection/>
    </xf>
    <xf numFmtId="0" fontId="3" fillId="46" borderId="10" xfId="0" applyFont="1" applyFill="1" applyBorder="1" applyAlignment="1" applyProtection="1">
      <alignment/>
      <protection locked="0"/>
    </xf>
    <xf numFmtId="0" fontId="3" fillId="46" borderId="10" xfId="0" applyFont="1" applyFill="1" applyBorder="1" applyAlignment="1">
      <alignment/>
    </xf>
    <xf numFmtId="4" fontId="3" fillId="0" borderId="10" xfId="0" applyNumberFormat="1" applyFont="1" applyFill="1" applyBorder="1" applyAlignment="1" applyProtection="1">
      <alignment/>
      <protection locked="0"/>
    </xf>
    <xf numFmtId="0" fontId="8" fillId="0" borderId="30" xfId="52" applyFont="1" applyBorder="1" applyAlignment="1">
      <alignment wrapText="1"/>
      <protection/>
    </xf>
    <xf numFmtId="2" fontId="8" fillId="0" borderId="14" xfId="52" applyNumberFormat="1" applyFont="1" applyBorder="1">
      <alignment/>
      <protection/>
    </xf>
    <xf numFmtId="4" fontId="15" fillId="47" borderId="10" xfId="52" applyNumberFormat="1" applyFont="1" applyFill="1" applyBorder="1" applyProtection="1">
      <alignment/>
      <protection locked="0"/>
    </xf>
    <xf numFmtId="4" fontId="15" fillId="47" borderId="10" xfId="52" applyNumberFormat="1" applyFill="1" applyBorder="1" applyProtection="1">
      <alignment/>
      <protection locked="0"/>
    </xf>
    <xf numFmtId="4" fontId="15" fillId="47" borderId="10" xfId="52" applyNumberFormat="1" applyFont="1" applyFill="1" applyBorder="1">
      <alignment/>
      <protection/>
    </xf>
    <xf numFmtId="0" fontId="15" fillId="0" borderId="10" xfId="52" applyFont="1" applyBorder="1" applyAlignment="1">
      <alignment horizontal="center"/>
      <protection/>
    </xf>
    <xf numFmtId="4" fontId="15" fillId="0" borderId="14" xfId="52" applyNumberFormat="1" applyFont="1" applyBorder="1" applyAlignment="1">
      <alignment horizontal="center"/>
      <protection/>
    </xf>
    <xf numFmtId="0" fontId="15" fillId="48" borderId="10" xfId="52" applyFont="1" applyFill="1" applyBorder="1" applyAlignment="1">
      <alignment horizontal="center"/>
      <protection/>
    </xf>
    <xf numFmtId="0" fontId="15" fillId="0" borderId="16" xfId="52" applyFont="1" applyBorder="1" applyAlignment="1">
      <alignment horizontal="center"/>
      <protection/>
    </xf>
    <xf numFmtId="0" fontId="8" fillId="47" borderId="16" xfId="52" applyFont="1" applyFill="1" applyBorder="1" applyAlignment="1">
      <alignment wrapText="1"/>
      <protection/>
    </xf>
    <xf numFmtId="0" fontId="3" fillId="47" borderId="10" xfId="0" applyFont="1" applyFill="1" applyBorder="1" applyAlignment="1" applyProtection="1">
      <alignment/>
      <protection locked="0"/>
    </xf>
    <xf numFmtId="0" fontId="3" fillId="47" borderId="10" xfId="0" applyFont="1" applyFill="1" applyBorder="1" applyAlignment="1">
      <alignment/>
    </xf>
    <xf numFmtId="0" fontId="8" fillId="47" borderId="10" xfId="0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3" fillId="47" borderId="10" xfId="0" applyFont="1" applyFill="1" applyBorder="1" applyAlignment="1">
      <alignment textRotation="90"/>
    </xf>
    <xf numFmtId="2" fontId="8" fillId="47" borderId="18" xfId="52" applyNumberFormat="1" applyFont="1" applyFill="1" applyBorder="1" applyAlignment="1">
      <alignment horizontal="center" vertical="top" wrapText="1"/>
      <protection/>
    </xf>
    <xf numFmtId="4" fontId="8" fillId="47" borderId="14" xfId="52" applyNumberFormat="1" applyFont="1" applyFill="1" applyBorder="1" applyAlignment="1">
      <alignment horizontal="center" vertical="top" wrapText="1"/>
      <protection/>
    </xf>
    <xf numFmtId="4" fontId="8" fillId="47" borderId="18" xfId="52" applyNumberFormat="1" applyFont="1" applyFill="1" applyBorder="1" applyAlignment="1">
      <alignment horizontal="center" vertical="top" wrapText="1"/>
      <protection/>
    </xf>
    <xf numFmtId="169" fontId="8" fillId="47" borderId="10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169" fontId="74" fillId="0" borderId="0" xfId="0" applyNumberFormat="1" applyFont="1" applyFill="1" applyAlignment="1">
      <alignment/>
    </xf>
    <xf numFmtId="169" fontId="77" fillId="0" borderId="0" xfId="0" applyNumberFormat="1" applyFont="1" applyFill="1" applyAlignment="1">
      <alignment/>
    </xf>
    <xf numFmtId="2" fontId="8" fillId="0" borderId="14" xfId="52" applyNumberFormat="1" applyFont="1" applyBorder="1" applyAlignment="1">
      <alignment horizontal="center" vertical="top" wrapText="1"/>
      <protection/>
    </xf>
    <xf numFmtId="2" fontId="8" fillId="36" borderId="17" xfId="52" applyNumberFormat="1" applyFont="1" applyFill="1" applyBorder="1" applyAlignment="1">
      <alignment horizontal="center" vertical="top" wrapText="1"/>
      <protection/>
    </xf>
    <xf numFmtId="169" fontId="8" fillId="49" borderId="10" xfId="0" applyNumberFormat="1" applyFont="1" applyFill="1" applyBorder="1" applyAlignment="1">
      <alignment/>
    </xf>
    <xf numFmtId="0" fontId="2" fillId="49" borderId="0" xfId="0" applyFont="1" applyFill="1" applyAlignment="1">
      <alignment/>
    </xf>
    <xf numFmtId="0" fontId="3" fillId="49" borderId="10" xfId="0" applyFont="1" applyFill="1" applyBorder="1" applyAlignment="1" applyProtection="1">
      <alignment/>
      <protection locked="0"/>
    </xf>
    <xf numFmtId="0" fontId="3" fillId="49" borderId="10" xfId="0" applyFont="1" applyFill="1" applyBorder="1" applyAlignment="1">
      <alignment/>
    </xf>
    <xf numFmtId="0" fontId="8" fillId="49" borderId="10" xfId="0" applyFont="1" applyFill="1" applyBorder="1" applyAlignment="1" applyProtection="1">
      <alignment/>
      <protection locked="0"/>
    </xf>
    <xf numFmtId="0" fontId="3" fillId="49" borderId="0" xfId="0" applyFont="1" applyFill="1" applyAlignment="1" applyProtection="1">
      <alignment/>
      <protection locked="0"/>
    </xf>
    <xf numFmtId="0" fontId="3" fillId="49" borderId="0" xfId="0" applyFont="1" applyFill="1" applyAlignment="1">
      <alignment/>
    </xf>
    <xf numFmtId="0" fontId="3" fillId="0" borderId="0" xfId="0" applyFont="1" applyFill="1" applyAlignment="1" applyProtection="1">
      <alignment horizontal="center"/>
      <protection locked="0"/>
    </xf>
    <xf numFmtId="4" fontId="8" fillId="0" borderId="0" xfId="52" applyNumberFormat="1" applyFont="1">
      <alignment/>
      <protection/>
    </xf>
    <xf numFmtId="171" fontId="8" fillId="0" borderId="10" xfId="52" applyNumberFormat="1" applyFont="1" applyFill="1" applyBorder="1">
      <alignment/>
      <protection/>
    </xf>
    <xf numFmtId="2" fontId="8" fillId="0" borderId="10" xfId="52" applyNumberFormat="1" applyFont="1" applyBorder="1" applyAlignment="1">
      <alignment wrapText="1"/>
      <protection/>
    </xf>
    <xf numFmtId="169" fontId="74" fillId="47" borderId="10" xfId="0" applyNumberFormat="1" applyFont="1" applyFill="1" applyBorder="1" applyAlignment="1">
      <alignment/>
    </xf>
    <xf numFmtId="0" fontId="3" fillId="47" borderId="10" xfId="0" applyFont="1" applyFill="1" applyBorder="1" applyAlignment="1">
      <alignment/>
    </xf>
    <xf numFmtId="2" fontId="3" fillId="47" borderId="10" xfId="0" applyNumberFormat="1" applyFont="1" applyFill="1" applyBorder="1" applyAlignment="1">
      <alignment textRotation="90"/>
    </xf>
    <xf numFmtId="0" fontId="10" fillId="47" borderId="0" xfId="0" applyFont="1" applyFill="1" applyBorder="1" applyAlignment="1">
      <alignment horizontal="center" vertical="top" wrapText="1"/>
    </xf>
    <xf numFmtId="0" fontId="10" fillId="47" borderId="0" xfId="0" applyFont="1" applyFill="1" applyBorder="1" applyAlignment="1">
      <alignment horizontal="left" vertical="top" wrapText="1"/>
    </xf>
    <xf numFmtId="0" fontId="11" fillId="47" borderId="0" xfId="0" applyFont="1" applyFill="1" applyBorder="1" applyAlignment="1">
      <alignment horizontal="left" vertical="top" wrapText="1"/>
    </xf>
    <xf numFmtId="0" fontId="2" fillId="47" borderId="0" xfId="0" applyFont="1" applyFill="1" applyAlignment="1">
      <alignment/>
    </xf>
    <xf numFmtId="0" fontId="3" fillId="47" borderId="27" xfId="0" applyFont="1" applyFill="1" applyBorder="1" applyAlignment="1">
      <alignment vertical="center" wrapText="1"/>
    </xf>
    <xf numFmtId="0" fontId="11" fillId="47" borderId="27" xfId="0" applyFont="1" applyFill="1" applyBorder="1" applyAlignment="1">
      <alignment vertical="top" wrapText="1"/>
    </xf>
    <xf numFmtId="0" fontId="11" fillId="47" borderId="37" xfId="0" applyFont="1" applyFill="1" applyBorder="1" applyAlignment="1">
      <alignment vertical="top" wrapText="1"/>
    </xf>
    <xf numFmtId="0" fontId="11" fillId="47" borderId="27" xfId="0" applyFont="1" applyFill="1" applyBorder="1" applyAlignment="1">
      <alignment wrapText="1"/>
    </xf>
    <xf numFmtId="0" fontId="11" fillId="47" borderId="38" xfId="0" applyFont="1" applyFill="1" applyBorder="1" applyAlignment="1">
      <alignment horizontal="center" wrapText="1"/>
    </xf>
    <xf numFmtId="0" fontId="11" fillId="47" borderId="39" xfId="0" applyFont="1" applyFill="1" applyBorder="1" applyAlignment="1">
      <alignment horizontal="center" wrapText="1"/>
    </xf>
    <xf numFmtId="0" fontId="11" fillId="47" borderId="0" xfId="0" applyFont="1" applyFill="1" applyBorder="1" applyAlignment="1">
      <alignment horizontal="center" wrapText="1"/>
    </xf>
    <xf numFmtId="0" fontId="11" fillId="47" borderId="31" xfId="0" applyFont="1" applyFill="1" applyBorder="1" applyAlignment="1">
      <alignment vertical="top" wrapText="1"/>
    </xf>
    <xf numFmtId="0" fontId="11" fillId="47" borderId="0" xfId="0" applyFont="1" applyFill="1" applyBorder="1" applyAlignment="1">
      <alignment vertical="top" wrapText="1"/>
    </xf>
    <xf numFmtId="0" fontId="11" fillId="47" borderId="31" xfId="0" applyFont="1" applyFill="1" applyBorder="1" applyAlignment="1">
      <alignment wrapText="1"/>
    </xf>
    <xf numFmtId="0" fontId="11" fillId="47" borderId="39" xfId="0" applyFont="1" applyFill="1" applyBorder="1" applyAlignment="1">
      <alignment vertical="top" wrapText="1"/>
    </xf>
    <xf numFmtId="0" fontId="11" fillId="47" borderId="39" xfId="0" applyFont="1" applyFill="1" applyBorder="1" applyAlignment="1">
      <alignment wrapText="1"/>
    </xf>
    <xf numFmtId="0" fontId="11" fillId="47" borderId="40" xfId="0" applyFont="1" applyFill="1" applyBorder="1" applyAlignment="1">
      <alignment vertical="top" wrapText="1"/>
    </xf>
    <xf numFmtId="0" fontId="11" fillId="47" borderId="41" xfId="0" applyFont="1" applyFill="1" applyBorder="1" applyAlignment="1">
      <alignment vertical="top" wrapText="1"/>
    </xf>
    <xf numFmtId="0" fontId="11" fillId="47" borderId="40" xfId="0" applyFont="1" applyFill="1" applyBorder="1" applyAlignment="1">
      <alignment horizontal="center" vertical="top" wrapText="1"/>
    </xf>
    <xf numFmtId="0" fontId="11" fillId="47" borderId="41" xfId="0" applyFont="1" applyFill="1" applyBorder="1" applyAlignment="1">
      <alignment horizontal="center" vertical="top" wrapText="1"/>
    </xf>
    <xf numFmtId="0" fontId="11" fillId="47" borderId="40" xfId="0" applyFont="1" applyFill="1" applyBorder="1" applyAlignment="1">
      <alignment horizontal="center" wrapText="1"/>
    </xf>
    <xf numFmtId="0" fontId="11" fillId="47" borderId="35" xfId="0" applyFont="1" applyFill="1" applyBorder="1" applyAlignment="1">
      <alignment horizontal="center" wrapText="1"/>
    </xf>
    <xf numFmtId="0" fontId="11" fillId="47" borderId="41" xfId="0" applyFont="1" applyFill="1" applyBorder="1" applyAlignment="1">
      <alignment horizontal="center" wrapText="1"/>
    </xf>
    <xf numFmtId="0" fontId="11" fillId="47" borderId="35" xfId="0" applyFont="1" applyFill="1" applyBorder="1" applyAlignment="1">
      <alignment vertical="top" wrapText="1"/>
    </xf>
    <xf numFmtId="0" fontId="11" fillId="47" borderId="41" xfId="0" applyFont="1" applyFill="1" applyBorder="1" applyAlignment="1">
      <alignment wrapText="1"/>
    </xf>
    <xf numFmtId="0" fontId="2" fillId="47" borderId="0" xfId="0" applyFont="1" applyFill="1" applyBorder="1" applyAlignment="1">
      <alignment/>
    </xf>
    <xf numFmtId="0" fontId="3" fillId="47" borderId="10" xfId="0" applyFont="1" applyFill="1" applyBorder="1" applyAlignment="1">
      <alignment horizontal="center" vertical="center"/>
    </xf>
    <xf numFmtId="0" fontId="3" fillId="47" borderId="10" xfId="0" applyFont="1" applyFill="1" applyBorder="1" applyAlignment="1">
      <alignment/>
    </xf>
    <xf numFmtId="0" fontId="2" fillId="47" borderId="34" xfId="0" applyFont="1" applyFill="1" applyBorder="1" applyAlignment="1">
      <alignment horizontal="right"/>
    </xf>
    <xf numFmtId="0" fontId="2" fillId="47" borderId="34" xfId="0" applyFont="1" applyFill="1" applyBorder="1" applyAlignment="1">
      <alignment/>
    </xf>
    <xf numFmtId="0" fontId="3" fillId="47" borderId="21" xfId="0" applyFont="1" applyFill="1" applyBorder="1" applyAlignment="1">
      <alignment horizontal="left" vertical="top" wrapText="1"/>
    </xf>
    <xf numFmtId="2" fontId="5" fillId="47" borderId="10" xfId="0" applyNumberFormat="1" applyFont="1" applyFill="1" applyBorder="1" applyAlignment="1">
      <alignment textRotation="90"/>
    </xf>
    <xf numFmtId="4" fontId="2" fillId="47" borderId="0" xfId="0" applyNumberFormat="1" applyFont="1" applyFill="1" applyAlignment="1">
      <alignment/>
    </xf>
    <xf numFmtId="0" fontId="3" fillId="47" borderId="10" xfId="0" applyFont="1" applyFill="1" applyBorder="1" applyAlignment="1">
      <alignment horizontal="left" vertical="top" wrapText="1"/>
    </xf>
    <xf numFmtId="0" fontId="5" fillId="47" borderId="0" xfId="0" applyFont="1" applyFill="1" applyAlignment="1">
      <alignment horizontal="right"/>
    </xf>
    <xf numFmtId="0" fontId="3" fillId="47" borderId="27" xfId="0" applyFont="1" applyFill="1" applyBorder="1" applyAlignment="1">
      <alignment horizontal="center" vertical="center" wrapText="1"/>
    </xf>
    <xf numFmtId="2" fontId="15" fillId="0" borderId="14" xfId="52" applyNumberFormat="1" applyBorder="1">
      <alignment/>
      <protection/>
    </xf>
    <xf numFmtId="2" fontId="15" fillId="0" borderId="14" xfId="52" applyNumberFormat="1" applyBorder="1" applyProtection="1">
      <alignment/>
      <protection locked="0"/>
    </xf>
    <xf numFmtId="2" fontId="15" fillId="0" borderId="17" xfId="52" applyNumberFormat="1" applyBorder="1" applyProtection="1">
      <alignment/>
      <protection locked="0"/>
    </xf>
    <xf numFmtId="0" fontId="3" fillId="50" borderId="10" xfId="0" applyFont="1" applyFill="1" applyBorder="1" applyAlignment="1">
      <alignment/>
    </xf>
    <xf numFmtId="0" fontId="3" fillId="47" borderId="10" xfId="0" applyFont="1" applyFill="1" applyBorder="1" applyAlignment="1">
      <alignment horizontal="center" vertical="center" wrapText="1"/>
    </xf>
    <xf numFmtId="0" fontId="2" fillId="47" borderId="0" xfId="0" applyFont="1" applyFill="1" applyBorder="1" applyAlignment="1">
      <alignment vertical="top" wrapText="1"/>
    </xf>
    <xf numFmtId="0" fontId="5" fillId="47" borderId="0" xfId="0" applyFont="1" applyFill="1" applyAlignment="1">
      <alignment/>
    </xf>
    <xf numFmtId="0" fontId="5" fillId="47" borderId="38" xfId="0" applyFont="1" applyFill="1" applyBorder="1" applyAlignment="1">
      <alignment horizontal="left"/>
    </xf>
    <xf numFmtId="0" fontId="5" fillId="47" borderId="0" xfId="0" applyFont="1" applyFill="1" applyBorder="1" applyAlignment="1">
      <alignment horizontal="left"/>
    </xf>
    <xf numFmtId="0" fontId="5" fillId="47" borderId="39" xfId="0" applyFont="1" applyFill="1" applyBorder="1" applyAlignment="1">
      <alignment horizontal="left"/>
    </xf>
    <xf numFmtId="0" fontId="5" fillId="47" borderId="38" xfId="0" applyFont="1" applyFill="1" applyBorder="1" applyAlignment="1">
      <alignment/>
    </xf>
    <xf numFmtId="0" fontId="5" fillId="47" borderId="0" xfId="0" applyFont="1" applyFill="1" applyBorder="1" applyAlignment="1">
      <alignment/>
    </xf>
    <xf numFmtId="0" fontId="5" fillId="47" borderId="39" xfId="0" applyFont="1" applyFill="1" applyBorder="1" applyAlignment="1">
      <alignment/>
    </xf>
    <xf numFmtId="0" fontId="2" fillId="47" borderId="40" xfId="0" applyFont="1" applyFill="1" applyBorder="1" applyAlignment="1">
      <alignment/>
    </xf>
    <xf numFmtId="0" fontId="2" fillId="47" borderId="35" xfId="0" applyFont="1" applyFill="1" applyBorder="1" applyAlignment="1">
      <alignment/>
    </xf>
    <xf numFmtId="0" fontId="2" fillId="47" borderId="41" xfId="0" applyFont="1" applyFill="1" applyBorder="1" applyAlignment="1">
      <alignment/>
    </xf>
    <xf numFmtId="0" fontId="2" fillId="47" borderId="0" xfId="0" applyFont="1" applyFill="1" applyAlignment="1">
      <alignment horizontal="right"/>
    </xf>
    <xf numFmtId="0" fontId="2" fillId="47" borderId="35" xfId="0" applyFont="1" applyFill="1" applyBorder="1" applyAlignment="1">
      <alignment/>
    </xf>
    <xf numFmtId="0" fontId="2" fillId="47" borderId="35" xfId="0" applyFont="1" applyFill="1" applyBorder="1" applyAlignment="1">
      <alignment/>
    </xf>
    <xf numFmtId="0" fontId="2" fillId="47" borderId="0" xfId="0" applyFont="1" applyFill="1" applyAlignment="1">
      <alignment/>
    </xf>
    <xf numFmtId="0" fontId="3" fillId="47" borderId="10" xfId="0" applyFont="1" applyFill="1" applyBorder="1" applyAlignment="1">
      <alignment vertical="center" wrapText="1"/>
    </xf>
    <xf numFmtId="0" fontId="2" fillId="47" borderId="10" xfId="0" applyFont="1" applyFill="1" applyBorder="1" applyAlignment="1">
      <alignment/>
    </xf>
    <xf numFmtId="0" fontId="2" fillId="47" borderId="10" xfId="0" applyFont="1" applyFill="1" applyBorder="1" applyAlignment="1">
      <alignment vertical="center"/>
    </xf>
    <xf numFmtId="0" fontId="2" fillId="47" borderId="34" xfId="0" applyFont="1" applyFill="1" applyBorder="1" applyAlignment="1">
      <alignment horizontal="right" vertical="top"/>
    </xf>
    <xf numFmtId="0" fontId="2" fillId="47" borderId="34" xfId="0" applyFont="1" applyFill="1" applyBorder="1" applyAlignment="1">
      <alignment vertical="top"/>
    </xf>
    <xf numFmtId="0" fontId="2" fillId="47" borderId="0" xfId="0" applyFont="1" applyFill="1" applyBorder="1" applyAlignment="1">
      <alignment/>
    </xf>
    <xf numFmtId="0" fontId="8" fillId="47" borderId="10" xfId="0" applyFont="1" applyFill="1" applyBorder="1" applyAlignment="1">
      <alignment/>
    </xf>
    <xf numFmtId="2" fontId="8" fillId="0" borderId="0" xfId="52" applyNumberFormat="1" applyFont="1">
      <alignment/>
      <protection/>
    </xf>
    <xf numFmtId="2" fontId="15" fillId="0" borderId="0" xfId="52" applyNumberFormat="1" applyFont="1" applyFill="1">
      <alignment/>
      <protection/>
    </xf>
    <xf numFmtId="3" fontId="3" fillId="11" borderId="10" xfId="0" applyNumberFormat="1" applyFont="1" applyFill="1" applyBorder="1" applyAlignment="1">
      <alignment/>
    </xf>
    <xf numFmtId="0" fontId="8" fillId="0" borderId="21" xfId="52" applyFont="1" applyBorder="1" applyAlignment="1">
      <alignment wrapText="1"/>
      <protection/>
    </xf>
    <xf numFmtId="2" fontId="3" fillId="0" borderId="0" xfId="0" applyNumberFormat="1" applyFont="1" applyFill="1" applyAlignment="1">
      <alignment/>
    </xf>
    <xf numFmtId="0" fontId="8" fillId="0" borderId="30" xfId="52" applyFont="1" applyBorder="1">
      <alignment/>
      <protection/>
    </xf>
    <xf numFmtId="0" fontId="20" fillId="0" borderId="28" xfId="52" applyFont="1" applyBorder="1" applyAlignment="1">
      <alignment wrapText="1"/>
      <protection/>
    </xf>
    <xf numFmtId="0" fontId="8" fillId="0" borderId="28" xfId="52" applyFont="1" applyBorder="1" applyAlignment="1">
      <alignment wrapText="1"/>
      <protection/>
    </xf>
    <xf numFmtId="0" fontId="20" fillId="0" borderId="40" xfId="52" applyFont="1" applyBorder="1" applyAlignment="1">
      <alignment horizontal="center" wrapText="1"/>
      <protection/>
    </xf>
    <xf numFmtId="0" fontId="20" fillId="0" borderId="42" xfId="52" applyFont="1" applyBorder="1" applyAlignment="1">
      <alignment horizontal="center" wrapText="1"/>
      <protection/>
    </xf>
    <xf numFmtId="0" fontId="3" fillId="47" borderId="0" xfId="0" applyFont="1" applyFill="1" applyBorder="1" applyAlignment="1">
      <alignment/>
    </xf>
    <xf numFmtId="0" fontId="3" fillId="9" borderId="0" xfId="0" applyFont="1" applyFill="1" applyAlignment="1">
      <alignment/>
    </xf>
    <xf numFmtId="4" fontId="15" fillId="0" borderId="0" xfId="52" applyNumberFormat="1" applyAlignment="1">
      <alignment horizontal="center"/>
      <protection/>
    </xf>
    <xf numFmtId="4" fontId="3" fillId="47" borderId="10" xfId="0" applyNumberFormat="1" applyFont="1" applyFill="1" applyBorder="1" applyAlignment="1" applyProtection="1">
      <alignment/>
      <protection locked="0"/>
    </xf>
    <xf numFmtId="4" fontId="3" fillId="41" borderId="10" xfId="0" applyNumberFormat="1" applyFont="1" applyFill="1" applyBorder="1" applyAlignment="1">
      <alignment/>
    </xf>
    <xf numFmtId="4" fontId="3" fillId="11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4" fillId="42" borderId="0" xfId="0" applyNumberFormat="1" applyFont="1" applyFill="1" applyBorder="1" applyAlignment="1" applyProtection="1">
      <alignment/>
      <protection locked="0"/>
    </xf>
    <xf numFmtId="4" fontId="3" fillId="42" borderId="10" xfId="0" applyNumberFormat="1" applyFont="1" applyFill="1" applyBorder="1" applyAlignment="1">
      <alignment/>
    </xf>
    <xf numFmtId="4" fontId="5" fillId="47" borderId="10" xfId="0" applyNumberFormat="1" applyFont="1" applyFill="1" applyBorder="1" applyAlignment="1">
      <alignment textRotation="90"/>
    </xf>
    <xf numFmtId="169" fontId="74" fillId="44" borderId="0" xfId="0" applyNumberFormat="1" applyFont="1" applyFill="1" applyAlignment="1">
      <alignment/>
    </xf>
    <xf numFmtId="4" fontId="3" fillId="46" borderId="10" xfId="0" applyNumberFormat="1" applyFont="1" applyFill="1" applyBorder="1" applyAlignment="1">
      <alignment/>
    </xf>
    <xf numFmtId="4" fontId="3" fillId="50" borderId="10" xfId="0" applyNumberFormat="1" applyFont="1" applyFill="1" applyBorder="1" applyAlignment="1" applyProtection="1">
      <alignment/>
      <protection locked="0"/>
    </xf>
    <xf numFmtId="169" fontId="74" fillId="47" borderId="0" xfId="0" applyNumberFormat="1" applyFont="1" applyFill="1" applyAlignment="1">
      <alignment/>
    </xf>
    <xf numFmtId="0" fontId="74" fillId="47" borderId="0" xfId="0" applyFont="1" applyFill="1" applyAlignment="1">
      <alignment/>
    </xf>
    <xf numFmtId="4" fontId="15" fillId="49" borderId="10" xfId="52" applyNumberFormat="1" applyFont="1" applyFill="1" applyBorder="1" applyProtection="1">
      <alignment/>
      <protection locked="0"/>
    </xf>
    <xf numFmtId="0" fontId="8" fillId="0" borderId="13" xfId="52" applyFont="1" applyBorder="1" applyAlignment="1">
      <alignment vertical="center" wrapText="1"/>
      <protection/>
    </xf>
    <xf numFmtId="0" fontId="8" fillId="0" borderId="43" xfId="52" applyFont="1" applyBorder="1">
      <alignment/>
      <protection/>
    </xf>
    <xf numFmtId="10" fontId="15" fillId="0" borderId="44" xfId="52" applyNumberFormat="1" applyBorder="1">
      <alignment/>
      <protection/>
    </xf>
    <xf numFmtId="0" fontId="15" fillId="0" borderId="45" xfId="52" applyBorder="1">
      <alignment/>
      <protection/>
    </xf>
    <xf numFmtId="1" fontId="15" fillId="0" borderId="44" xfId="52" applyNumberFormat="1" applyBorder="1">
      <alignment/>
      <protection/>
    </xf>
    <xf numFmtId="4" fontId="15" fillId="0" borderId="10" xfId="52" applyNumberFormat="1" applyBorder="1" applyProtection="1">
      <alignment/>
      <protection locked="0"/>
    </xf>
    <xf numFmtId="4" fontId="3" fillId="49" borderId="10" xfId="0" applyNumberFormat="1" applyFont="1" applyFill="1" applyBorder="1" applyAlignment="1">
      <alignment/>
    </xf>
    <xf numFmtId="4" fontId="3" fillId="43" borderId="10" xfId="0" applyNumberFormat="1" applyFont="1" applyFill="1" applyBorder="1" applyAlignment="1">
      <alignment/>
    </xf>
    <xf numFmtId="4" fontId="8" fillId="49" borderId="10" xfId="0" applyNumberFormat="1" applyFont="1" applyFill="1" applyBorder="1" applyAlignment="1" applyProtection="1">
      <alignment/>
      <protection locked="0"/>
    </xf>
    <xf numFmtId="4" fontId="3" fillId="49" borderId="10" xfId="0" applyNumberFormat="1" applyFont="1" applyFill="1" applyBorder="1" applyAlignment="1" applyProtection="1">
      <alignment/>
      <protection locked="0"/>
    </xf>
    <xf numFmtId="0" fontId="3" fillId="43" borderId="10" xfId="0" applyFont="1" applyFill="1" applyBorder="1" applyAlignment="1">
      <alignment/>
    </xf>
    <xf numFmtId="2" fontId="3" fillId="49" borderId="10" xfId="0" applyNumberFormat="1" applyFont="1" applyFill="1" applyBorder="1" applyAlignment="1" applyProtection="1">
      <alignment/>
      <protection locked="0"/>
    </xf>
    <xf numFmtId="2" fontId="3" fillId="43" borderId="10" xfId="0" applyNumberFormat="1" applyFont="1" applyFill="1" applyBorder="1" applyAlignment="1">
      <alignment/>
    </xf>
    <xf numFmtId="169" fontId="8" fillId="45" borderId="21" xfId="0" applyNumberFormat="1" applyFont="1" applyFill="1" applyBorder="1" applyAlignment="1">
      <alignment/>
    </xf>
    <xf numFmtId="4" fontId="8" fillId="0" borderId="10" xfId="0" applyNumberFormat="1" applyFont="1" applyFill="1" applyBorder="1" applyAlignment="1" applyProtection="1">
      <alignment/>
      <protection locked="0"/>
    </xf>
    <xf numFmtId="169" fontId="74" fillId="45" borderId="0" xfId="0" applyNumberFormat="1" applyFont="1" applyFill="1" applyAlignment="1">
      <alignment/>
    </xf>
    <xf numFmtId="4" fontId="3" fillId="47" borderId="10" xfId="0" applyNumberFormat="1" applyFont="1" applyFill="1" applyBorder="1" applyAlignment="1">
      <alignment textRotation="90"/>
    </xf>
    <xf numFmtId="4" fontId="3" fillId="47" borderId="10" xfId="0" applyNumberFormat="1" applyFont="1" applyFill="1" applyBorder="1" applyAlignment="1">
      <alignment textRotation="90"/>
    </xf>
    <xf numFmtId="4" fontId="8" fillId="0" borderId="10" xfId="52" applyNumberFormat="1" applyFont="1" applyBorder="1">
      <alignment/>
      <protection/>
    </xf>
    <xf numFmtId="4" fontId="8" fillId="0" borderId="27" xfId="52" applyNumberFormat="1" applyFont="1" applyBorder="1">
      <alignment/>
      <protection/>
    </xf>
    <xf numFmtId="4" fontId="8" fillId="0" borderId="16" xfId="52" applyNumberFormat="1" applyFont="1" applyBorder="1">
      <alignment/>
      <protection/>
    </xf>
    <xf numFmtId="4" fontId="8" fillId="47" borderId="10" xfId="52" applyNumberFormat="1" applyFont="1" applyFill="1" applyBorder="1">
      <alignment/>
      <protection/>
    </xf>
    <xf numFmtId="4" fontId="8" fillId="0" borderId="14" xfId="52" applyNumberFormat="1" applyFont="1" applyBorder="1">
      <alignment/>
      <protection/>
    </xf>
    <xf numFmtId="4" fontId="8" fillId="0" borderId="17" xfId="52" applyNumberFormat="1" applyFont="1" applyBorder="1">
      <alignment/>
      <protection/>
    </xf>
    <xf numFmtId="4" fontId="8" fillId="0" borderId="32" xfId="52" applyNumberFormat="1" applyFont="1" applyBorder="1">
      <alignment/>
      <protection/>
    </xf>
    <xf numFmtId="3" fontId="3" fillId="43" borderId="10" xfId="0" applyNumberFormat="1" applyFont="1" applyFill="1" applyBorder="1" applyAlignment="1">
      <alignment/>
    </xf>
    <xf numFmtId="0" fontId="3" fillId="45" borderId="10" xfId="0" applyFont="1" applyFill="1" applyBorder="1" applyAlignment="1" applyProtection="1">
      <alignment/>
      <protection locked="0"/>
    </xf>
    <xf numFmtId="0" fontId="3" fillId="45" borderId="10" xfId="0" applyFont="1" applyFill="1" applyBorder="1" applyAlignment="1">
      <alignment/>
    </xf>
    <xf numFmtId="0" fontId="8" fillId="45" borderId="10" xfId="0" applyFont="1" applyFill="1" applyBorder="1" applyAlignment="1" applyProtection="1">
      <alignment/>
      <protection locked="0"/>
    </xf>
    <xf numFmtId="2" fontId="8" fillId="0" borderId="28" xfId="52" applyNumberFormat="1" applyFont="1" applyBorder="1" applyAlignment="1">
      <alignment horizontal="center" vertical="top" wrapText="1"/>
      <protection/>
    </xf>
    <xf numFmtId="169" fontId="8" fillId="47" borderId="21" xfId="0" applyNumberFormat="1" applyFont="1" applyFill="1" applyBorder="1" applyAlignment="1">
      <alignment/>
    </xf>
    <xf numFmtId="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9" fontId="8" fillId="0" borderId="10" xfId="0" applyNumberFormat="1" applyFont="1" applyFill="1" applyBorder="1" applyAlignment="1">
      <alignment horizontal="center" vertical="top"/>
    </xf>
    <xf numFmtId="4" fontId="3" fillId="47" borderId="10" xfId="0" applyNumberFormat="1" applyFont="1" applyFill="1" applyBorder="1" applyAlignment="1">
      <alignment/>
    </xf>
    <xf numFmtId="4" fontId="8" fillId="47" borderId="10" xfId="0" applyNumberFormat="1" applyFont="1" applyFill="1" applyBorder="1" applyAlignment="1" applyProtection="1">
      <alignment/>
      <protection locked="0"/>
    </xf>
    <xf numFmtId="0" fontId="2" fillId="47" borderId="0" xfId="0" applyFont="1" applyFill="1" applyBorder="1" applyAlignment="1">
      <alignment horizontal="right"/>
    </xf>
    <xf numFmtId="3" fontId="3" fillId="50" borderId="10" xfId="0" applyNumberFormat="1" applyFont="1" applyFill="1" applyBorder="1" applyAlignment="1">
      <alignment/>
    </xf>
    <xf numFmtId="0" fontId="3" fillId="47" borderId="44" xfId="0" applyFont="1" applyFill="1" applyBorder="1" applyAlignment="1">
      <alignment horizontal="left" wrapText="1"/>
    </xf>
    <xf numFmtId="0" fontId="3" fillId="47" borderId="36" xfId="0" applyFont="1" applyFill="1" applyBorder="1" applyAlignment="1">
      <alignment horizontal="left" wrapText="1"/>
    </xf>
    <xf numFmtId="0" fontId="3" fillId="47" borderId="21" xfId="0" applyFont="1" applyFill="1" applyBorder="1" applyAlignment="1">
      <alignment horizontal="left" wrapText="1"/>
    </xf>
    <xf numFmtId="4" fontId="3" fillId="47" borderId="44" xfId="0" applyNumberFormat="1" applyFont="1" applyFill="1" applyBorder="1" applyAlignment="1">
      <alignment horizontal="center"/>
    </xf>
    <xf numFmtId="4" fontId="3" fillId="47" borderId="21" xfId="0" applyNumberFormat="1" applyFont="1" applyFill="1" applyBorder="1" applyAlignment="1">
      <alignment horizontal="center"/>
    </xf>
    <xf numFmtId="0" fontId="2" fillId="47" borderId="0" xfId="0" applyFont="1" applyFill="1" applyAlignment="1">
      <alignment horizontal="center" wrapText="1"/>
    </xf>
    <xf numFmtId="0" fontId="2" fillId="47" borderId="0" xfId="0" applyFont="1" applyFill="1" applyAlignment="1">
      <alignment horizontal="left" wrapText="1"/>
    </xf>
    <xf numFmtId="0" fontId="2" fillId="47" borderId="0" xfId="0" applyFont="1" applyFill="1" applyAlignment="1">
      <alignment horizontal="left" wrapText="1"/>
    </xf>
    <xf numFmtId="0" fontId="2" fillId="47" borderId="44" xfId="0" applyFont="1" applyFill="1" applyBorder="1" applyAlignment="1">
      <alignment horizontal="left" wrapText="1"/>
    </xf>
    <xf numFmtId="0" fontId="2" fillId="47" borderId="36" xfId="0" applyFont="1" applyFill="1" applyBorder="1" applyAlignment="1">
      <alignment horizontal="left" wrapText="1"/>
    </xf>
    <xf numFmtId="0" fontId="2" fillId="47" borderId="21" xfId="0" applyFont="1" applyFill="1" applyBorder="1" applyAlignment="1">
      <alignment horizontal="left" wrapText="1"/>
    </xf>
    <xf numFmtId="0" fontId="5" fillId="47" borderId="44" xfId="0" applyFont="1" applyFill="1" applyBorder="1" applyAlignment="1">
      <alignment horizontal="left" wrapText="1"/>
    </xf>
    <xf numFmtId="0" fontId="5" fillId="47" borderId="36" xfId="0" applyFont="1" applyFill="1" applyBorder="1" applyAlignment="1">
      <alignment horizontal="left" wrapText="1"/>
    </xf>
    <xf numFmtId="0" fontId="5" fillId="47" borderId="21" xfId="0" applyFont="1" applyFill="1" applyBorder="1" applyAlignment="1">
      <alignment horizontal="left" wrapText="1"/>
    </xf>
    <xf numFmtId="0" fontId="5" fillId="0" borderId="46" xfId="0" applyFont="1" applyBorder="1" applyAlignment="1">
      <alignment horizontal="left" wrapText="1"/>
    </xf>
    <xf numFmtId="0" fontId="5" fillId="0" borderId="37" xfId="0" applyFont="1" applyBorder="1" applyAlignment="1">
      <alignment horizontal="left" wrapText="1"/>
    </xf>
    <xf numFmtId="0" fontId="5" fillId="0" borderId="47" xfId="0" applyFont="1" applyBorder="1" applyAlignment="1">
      <alignment horizontal="left" wrapText="1"/>
    </xf>
    <xf numFmtId="0" fontId="5" fillId="47" borderId="38" xfId="0" applyFont="1" applyFill="1" applyBorder="1" applyAlignment="1">
      <alignment horizontal="left" wrapText="1"/>
    </xf>
    <xf numFmtId="0" fontId="5" fillId="47" borderId="0" xfId="0" applyFont="1" applyFill="1" applyBorder="1" applyAlignment="1">
      <alignment horizontal="left" wrapText="1"/>
    </xf>
    <xf numFmtId="0" fontId="5" fillId="47" borderId="39" xfId="0" applyFont="1" applyFill="1" applyBorder="1" applyAlignment="1">
      <alignment horizontal="left" wrapText="1"/>
    </xf>
    <xf numFmtId="0" fontId="5" fillId="47" borderId="38" xfId="0" applyFont="1" applyFill="1" applyBorder="1" applyAlignment="1">
      <alignment horizontal="left"/>
    </xf>
    <xf numFmtId="0" fontId="5" fillId="47" borderId="0" xfId="0" applyFont="1" applyFill="1" applyBorder="1" applyAlignment="1">
      <alignment horizontal="left"/>
    </xf>
    <xf numFmtId="0" fontId="5" fillId="47" borderId="39" xfId="0" applyFont="1" applyFill="1" applyBorder="1" applyAlignment="1">
      <alignment horizontal="left"/>
    </xf>
    <xf numFmtId="0" fontId="2" fillId="47" borderId="0" xfId="0" applyFont="1" applyFill="1" applyAlignment="1">
      <alignment horizontal="center"/>
    </xf>
    <xf numFmtId="0" fontId="2" fillId="47" borderId="44" xfId="0" applyFont="1" applyFill="1" applyBorder="1" applyAlignment="1">
      <alignment horizontal="center"/>
    </xf>
    <xf numFmtId="0" fontId="2" fillId="47" borderId="36" xfId="0" applyFont="1" applyFill="1" applyBorder="1" applyAlignment="1">
      <alignment horizontal="center"/>
    </xf>
    <xf numFmtId="0" fontId="2" fillId="47" borderId="21" xfId="0" applyFont="1" applyFill="1" applyBorder="1" applyAlignment="1">
      <alignment horizontal="center"/>
    </xf>
    <xf numFmtId="0" fontId="2" fillId="47" borderId="35" xfId="0" applyFont="1" applyFill="1" applyBorder="1" applyAlignment="1">
      <alignment horizontal="center"/>
    </xf>
    <xf numFmtId="0" fontId="2" fillId="47" borderId="44" xfId="0" applyFont="1" applyFill="1" applyBorder="1" applyAlignment="1">
      <alignment horizontal="left" wrapText="1"/>
    </xf>
    <xf numFmtId="0" fontId="0" fillId="47" borderId="36" xfId="0" applyFill="1" applyBorder="1" applyAlignment="1">
      <alignment/>
    </xf>
    <xf numFmtId="0" fontId="0" fillId="47" borderId="21" xfId="0" applyFill="1" applyBorder="1" applyAlignment="1">
      <alignment/>
    </xf>
    <xf numFmtId="0" fontId="5" fillId="47" borderId="44" xfId="0" applyFont="1" applyFill="1" applyBorder="1" applyAlignment="1">
      <alignment horizontal="left" wrapText="1"/>
    </xf>
    <xf numFmtId="4" fontId="2" fillId="47" borderId="44" xfId="0" applyNumberFormat="1" applyFont="1" applyFill="1" applyBorder="1" applyAlignment="1">
      <alignment horizontal="center"/>
    </xf>
    <xf numFmtId="4" fontId="2" fillId="47" borderId="36" xfId="0" applyNumberFormat="1" applyFont="1" applyFill="1" applyBorder="1" applyAlignment="1">
      <alignment horizontal="center"/>
    </xf>
    <xf numFmtId="4" fontId="2" fillId="47" borderId="21" xfId="0" applyNumberFormat="1" applyFont="1" applyFill="1" applyBorder="1" applyAlignment="1">
      <alignment horizontal="center"/>
    </xf>
    <xf numFmtId="0" fontId="6" fillId="47" borderId="44" xfId="0" applyFont="1" applyFill="1" applyBorder="1" applyAlignment="1">
      <alignment horizontal="center"/>
    </xf>
    <xf numFmtId="0" fontId="6" fillId="47" borderId="36" xfId="0" applyFont="1" applyFill="1" applyBorder="1" applyAlignment="1">
      <alignment horizontal="center"/>
    </xf>
    <xf numFmtId="0" fontId="6" fillId="47" borderId="21" xfId="0" applyFont="1" applyFill="1" applyBorder="1" applyAlignment="1">
      <alignment horizontal="center"/>
    </xf>
    <xf numFmtId="0" fontId="2" fillId="47" borderId="44" xfId="0" applyFont="1" applyFill="1" applyBorder="1" applyAlignment="1">
      <alignment horizontal="center" vertical="center"/>
    </xf>
    <xf numFmtId="0" fontId="2" fillId="47" borderId="36" xfId="0" applyFont="1" applyFill="1" applyBorder="1" applyAlignment="1">
      <alignment horizontal="center" vertical="center"/>
    </xf>
    <xf numFmtId="0" fontId="2" fillId="47" borderId="21" xfId="0" applyFont="1" applyFill="1" applyBorder="1" applyAlignment="1">
      <alignment horizontal="center" vertical="center"/>
    </xf>
    <xf numFmtId="0" fontId="2" fillId="47" borderId="44" xfId="0" applyFont="1" applyFill="1" applyBorder="1" applyAlignment="1">
      <alignment horizontal="center" vertical="center" wrapText="1"/>
    </xf>
    <xf numFmtId="0" fontId="2" fillId="47" borderId="36" xfId="0" applyFont="1" applyFill="1" applyBorder="1" applyAlignment="1">
      <alignment horizontal="center" vertical="center" wrapText="1"/>
    </xf>
    <xf numFmtId="0" fontId="2" fillId="47" borderId="21" xfId="0" applyFont="1" applyFill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 wrapText="1"/>
    </xf>
    <xf numFmtId="0" fontId="6" fillId="47" borderId="44" xfId="0" applyFont="1" applyFill="1" applyBorder="1" applyAlignment="1">
      <alignment horizontal="center" vertical="center"/>
    </xf>
    <xf numFmtId="0" fontId="6" fillId="47" borderId="36" xfId="0" applyFont="1" applyFill="1" applyBorder="1" applyAlignment="1">
      <alignment horizontal="center" vertical="center"/>
    </xf>
    <xf numFmtId="0" fontId="6" fillId="47" borderId="21" xfId="0" applyFont="1" applyFill="1" applyBorder="1" applyAlignment="1">
      <alignment horizontal="center" vertical="center"/>
    </xf>
    <xf numFmtId="0" fontId="3" fillId="47" borderId="44" xfId="0" applyFont="1" applyFill="1" applyBorder="1" applyAlignment="1">
      <alignment horizontal="center" vertical="center" wrapText="1"/>
    </xf>
    <xf numFmtId="0" fontId="3" fillId="47" borderId="36" xfId="0" applyFont="1" applyFill="1" applyBorder="1" applyAlignment="1">
      <alignment horizontal="center" vertical="center" wrapText="1"/>
    </xf>
    <xf numFmtId="0" fontId="3" fillId="47" borderId="21" xfId="0" applyFont="1" applyFill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44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11" fillId="0" borderId="44" xfId="0" applyFont="1" applyBorder="1" applyAlignment="1">
      <alignment horizontal="left" wrapText="1"/>
    </xf>
    <xf numFmtId="0" fontId="11" fillId="0" borderId="21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3" fillId="0" borderId="44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4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7" fillId="0" borderId="44" xfId="0" applyFont="1" applyBorder="1" applyAlignment="1">
      <alignment/>
    </xf>
    <xf numFmtId="0" fontId="7" fillId="0" borderId="21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21" xfId="0" applyFont="1" applyBorder="1" applyAlignment="1">
      <alignment/>
    </xf>
    <xf numFmtId="0" fontId="3" fillId="0" borderId="3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 wrapText="1"/>
    </xf>
    <xf numFmtId="49" fontId="7" fillId="0" borderId="21" xfId="0" applyNumberFormat="1" applyFont="1" applyBorder="1" applyAlignment="1">
      <alignment vertical="center" wrapText="1"/>
    </xf>
    <xf numFmtId="49" fontId="5" fillId="0" borderId="36" xfId="0" applyNumberFormat="1" applyFont="1" applyBorder="1" applyAlignment="1">
      <alignment vertical="center" wrapText="1"/>
    </xf>
    <xf numFmtId="49" fontId="5" fillId="0" borderId="21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5" fillId="0" borderId="44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44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5" fillId="0" borderId="44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wrapText="1"/>
    </xf>
    <xf numFmtId="0" fontId="3" fillId="0" borderId="36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36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44" xfId="0" applyFont="1" applyBorder="1" applyAlignment="1">
      <alignment horizontal="left" wrapText="1"/>
    </xf>
    <xf numFmtId="0" fontId="3" fillId="0" borderId="44" xfId="0" applyFont="1" applyBorder="1" applyAlignment="1">
      <alignment horizontal="center" vertical="center" wrapText="1"/>
    </xf>
    <xf numFmtId="0" fontId="5" fillId="47" borderId="44" xfId="0" applyFont="1" applyFill="1" applyBorder="1" applyAlignment="1">
      <alignment wrapText="1"/>
    </xf>
    <xf numFmtId="0" fontId="5" fillId="47" borderId="36" xfId="0" applyFont="1" applyFill="1" applyBorder="1" applyAlignment="1">
      <alignment wrapText="1"/>
    </xf>
    <xf numFmtId="0" fontId="5" fillId="47" borderId="21" xfId="0" applyFont="1" applyFill="1" applyBorder="1" applyAlignment="1">
      <alignment wrapText="1"/>
    </xf>
    <xf numFmtId="0" fontId="5" fillId="47" borderId="44" xfId="0" applyFont="1" applyFill="1" applyBorder="1" applyAlignment="1">
      <alignment wrapText="1"/>
    </xf>
    <xf numFmtId="0" fontId="5" fillId="47" borderId="36" xfId="0" applyFont="1" applyFill="1" applyBorder="1" applyAlignment="1">
      <alignment wrapText="1"/>
    </xf>
    <xf numFmtId="0" fontId="5" fillId="47" borderId="21" xfId="0" applyFont="1" applyFill="1" applyBorder="1" applyAlignment="1">
      <alignment wrapText="1"/>
    </xf>
    <xf numFmtId="0" fontId="5" fillId="47" borderId="36" xfId="0" applyFont="1" applyFill="1" applyBorder="1" applyAlignment="1">
      <alignment horizontal="left" wrapText="1"/>
    </xf>
    <xf numFmtId="0" fontId="5" fillId="47" borderId="36" xfId="0" applyFont="1" applyFill="1" applyBorder="1" applyAlignment="1">
      <alignment horizontal="center" wrapText="1"/>
    </xf>
    <xf numFmtId="0" fontId="5" fillId="47" borderId="36" xfId="0" applyFont="1" applyFill="1" applyBorder="1" applyAlignment="1">
      <alignment horizontal="center" wrapText="1"/>
    </xf>
    <xf numFmtId="0" fontId="5" fillId="47" borderId="21" xfId="0" applyFont="1" applyFill="1" applyBorder="1" applyAlignment="1">
      <alignment horizontal="center" wrapText="1"/>
    </xf>
    <xf numFmtId="0" fontId="3" fillId="47" borderId="44" xfId="0" applyFont="1" applyFill="1" applyBorder="1" applyAlignment="1">
      <alignment horizontal="left" wrapText="1"/>
    </xf>
    <xf numFmtId="0" fontId="3" fillId="47" borderId="36" xfId="0" applyFont="1" applyFill="1" applyBorder="1" applyAlignment="1">
      <alignment horizontal="left" wrapText="1"/>
    </xf>
    <xf numFmtId="0" fontId="3" fillId="47" borderId="21" xfId="0" applyFont="1" applyFill="1" applyBorder="1" applyAlignment="1">
      <alignment horizontal="left" wrapText="1"/>
    </xf>
    <xf numFmtId="0" fontId="3" fillId="47" borderId="10" xfId="0" applyFont="1" applyFill="1" applyBorder="1" applyAlignment="1">
      <alignment horizontal="center" vertical="center" wrapText="1"/>
    </xf>
    <xf numFmtId="0" fontId="3" fillId="47" borderId="46" xfId="0" applyFont="1" applyFill="1" applyBorder="1" applyAlignment="1">
      <alignment horizontal="center" vertical="center" wrapText="1"/>
    </xf>
    <xf numFmtId="0" fontId="3" fillId="47" borderId="47" xfId="0" applyFont="1" applyFill="1" applyBorder="1" applyAlignment="1">
      <alignment horizontal="center" vertical="center" wrapText="1"/>
    </xf>
    <xf numFmtId="0" fontId="3" fillId="47" borderId="40" xfId="0" applyFont="1" applyFill="1" applyBorder="1" applyAlignment="1">
      <alignment horizontal="center" vertical="center" wrapText="1"/>
    </xf>
    <xf numFmtId="0" fontId="3" fillId="47" borderId="41" xfId="0" applyFont="1" applyFill="1" applyBorder="1" applyAlignment="1">
      <alignment horizontal="center" vertical="center" wrapText="1"/>
    </xf>
    <xf numFmtId="4" fontId="3" fillId="47" borderId="10" xfId="0" applyNumberFormat="1" applyFont="1" applyFill="1" applyBorder="1" applyAlignment="1">
      <alignment horizontal="center"/>
    </xf>
    <xf numFmtId="0" fontId="3" fillId="47" borderId="10" xfId="0" applyFont="1" applyFill="1" applyBorder="1" applyAlignment="1">
      <alignment horizontal="left" vertical="top" wrapText="1"/>
    </xf>
    <xf numFmtId="0" fontId="3" fillId="47" borderId="46" xfId="0" applyFont="1" applyFill="1" applyBorder="1" applyAlignment="1">
      <alignment horizontal="left" vertical="top" wrapText="1"/>
    </xf>
    <xf numFmtId="0" fontId="3" fillId="47" borderId="47" xfId="0" applyFont="1" applyFill="1" applyBorder="1" applyAlignment="1">
      <alignment horizontal="left" vertical="top" wrapText="1"/>
    </xf>
    <xf numFmtId="0" fontId="3" fillId="47" borderId="40" xfId="0" applyFont="1" applyFill="1" applyBorder="1" applyAlignment="1">
      <alignment horizontal="left" vertical="top" wrapText="1"/>
    </xf>
    <xf numFmtId="0" fontId="3" fillId="47" borderId="41" xfId="0" applyFont="1" applyFill="1" applyBorder="1" applyAlignment="1">
      <alignment horizontal="left" vertical="top" wrapText="1"/>
    </xf>
    <xf numFmtId="4" fontId="3" fillId="47" borderId="44" xfId="0" applyNumberFormat="1" applyFont="1" applyFill="1" applyBorder="1" applyAlignment="1">
      <alignment horizontal="center" textRotation="90"/>
    </xf>
    <xf numFmtId="4" fontId="3" fillId="47" borderId="21" xfId="0" applyNumberFormat="1" applyFont="1" applyFill="1" applyBorder="1" applyAlignment="1">
      <alignment horizontal="center" textRotation="90"/>
    </xf>
    <xf numFmtId="0" fontId="11" fillId="47" borderId="38" xfId="0" applyFont="1" applyFill="1" applyBorder="1" applyAlignment="1">
      <alignment horizontal="center" vertical="top" wrapText="1"/>
    </xf>
    <xf numFmtId="0" fontId="11" fillId="47" borderId="39" xfId="0" applyFont="1" applyFill="1" applyBorder="1" applyAlignment="1">
      <alignment horizontal="center" vertical="top" wrapText="1"/>
    </xf>
    <xf numFmtId="0" fontId="3" fillId="47" borderId="44" xfId="0" applyFont="1" applyFill="1" applyBorder="1" applyAlignment="1">
      <alignment horizontal="center"/>
    </xf>
    <xf numFmtId="0" fontId="3" fillId="47" borderId="21" xfId="0" applyFont="1" applyFill="1" applyBorder="1" applyAlignment="1">
      <alignment horizontal="center"/>
    </xf>
    <xf numFmtId="0" fontId="11" fillId="47" borderId="10" xfId="0" applyFont="1" applyFill="1" applyBorder="1" applyAlignment="1">
      <alignment horizontal="left" vertical="top" wrapText="1"/>
    </xf>
    <xf numFmtId="0" fontId="11" fillId="47" borderId="10" xfId="0" applyFont="1" applyFill="1" applyBorder="1" applyAlignment="1">
      <alignment horizontal="center" vertical="top" wrapText="1"/>
    </xf>
    <xf numFmtId="0" fontId="11" fillId="47" borderId="46" xfId="0" applyFont="1" applyFill="1" applyBorder="1" applyAlignment="1">
      <alignment horizontal="center" vertical="top" wrapText="1"/>
    </xf>
    <xf numFmtId="0" fontId="11" fillId="47" borderId="47" xfId="0" applyFont="1" applyFill="1" applyBorder="1" applyAlignment="1">
      <alignment horizontal="center" vertical="top" wrapText="1"/>
    </xf>
    <xf numFmtId="0" fontId="11" fillId="47" borderId="46" xfId="0" applyFont="1" applyFill="1" applyBorder="1" applyAlignment="1">
      <alignment horizontal="center" wrapText="1"/>
    </xf>
    <xf numFmtId="0" fontId="11" fillId="47" borderId="47" xfId="0" applyFont="1" applyFill="1" applyBorder="1" applyAlignment="1">
      <alignment horizontal="center" wrapText="1"/>
    </xf>
    <xf numFmtId="0" fontId="11" fillId="47" borderId="37" xfId="0" applyFont="1" applyFill="1" applyBorder="1" applyAlignment="1">
      <alignment horizontal="center" wrapText="1"/>
    </xf>
    <xf numFmtId="0" fontId="3" fillId="47" borderId="27" xfId="0" applyFont="1" applyFill="1" applyBorder="1" applyAlignment="1">
      <alignment horizontal="center" vertical="center" wrapText="1"/>
    </xf>
    <xf numFmtId="0" fontId="10" fillId="47" borderId="10" xfId="0" applyFont="1" applyFill="1" applyBorder="1" applyAlignment="1">
      <alignment horizontal="center" vertical="top" wrapText="1"/>
    </xf>
    <xf numFmtId="0" fontId="11" fillId="47" borderId="46" xfId="0" applyFont="1" applyFill="1" applyBorder="1" applyAlignment="1">
      <alignment horizontal="left" vertical="top" wrapText="1"/>
    </xf>
    <xf numFmtId="0" fontId="11" fillId="47" borderId="47" xfId="0" applyFont="1" applyFill="1" applyBorder="1" applyAlignment="1">
      <alignment horizontal="left" vertical="top" wrapText="1"/>
    </xf>
    <xf numFmtId="0" fontId="11" fillId="47" borderId="38" xfId="0" applyFont="1" applyFill="1" applyBorder="1" applyAlignment="1">
      <alignment horizontal="left" vertical="top" wrapText="1"/>
    </xf>
    <xf numFmtId="0" fontId="11" fillId="47" borderId="39" xfId="0" applyFont="1" applyFill="1" applyBorder="1" applyAlignment="1">
      <alignment horizontal="left" vertical="top" wrapText="1"/>
    </xf>
    <xf numFmtId="0" fontId="11" fillId="47" borderId="40" xfId="0" applyFont="1" applyFill="1" applyBorder="1" applyAlignment="1">
      <alignment horizontal="left" vertical="top" wrapText="1"/>
    </xf>
    <xf numFmtId="0" fontId="11" fillId="47" borderId="41" xfId="0" applyFont="1" applyFill="1" applyBorder="1" applyAlignment="1">
      <alignment horizontal="left" vertical="top" wrapText="1"/>
    </xf>
    <xf numFmtId="0" fontId="3" fillId="47" borderId="38" xfId="0" applyFont="1" applyFill="1" applyBorder="1" applyAlignment="1">
      <alignment horizontal="center" vertical="center" wrapText="1"/>
    </xf>
    <xf numFmtId="0" fontId="3" fillId="47" borderId="39" xfId="0" applyFont="1" applyFill="1" applyBorder="1" applyAlignment="1">
      <alignment horizontal="center" vertical="center" wrapText="1"/>
    </xf>
    <xf numFmtId="0" fontId="3" fillId="47" borderId="31" xfId="0" applyFont="1" applyFill="1" applyBorder="1" applyAlignment="1">
      <alignment horizontal="center" vertical="center" wrapText="1"/>
    </xf>
    <xf numFmtId="0" fontId="10" fillId="47" borderId="46" xfId="0" applyFont="1" applyFill="1" applyBorder="1" applyAlignment="1">
      <alignment horizontal="left" vertical="top" wrapText="1"/>
    </xf>
    <xf numFmtId="0" fontId="10" fillId="47" borderId="47" xfId="0" applyFont="1" applyFill="1" applyBorder="1" applyAlignment="1">
      <alignment horizontal="left" vertical="top" wrapText="1"/>
    </xf>
    <xf numFmtId="0" fontId="10" fillId="47" borderId="38" xfId="0" applyFont="1" applyFill="1" applyBorder="1" applyAlignment="1">
      <alignment horizontal="left" vertical="top" wrapText="1"/>
    </xf>
    <xf numFmtId="0" fontId="10" fillId="47" borderId="39" xfId="0" applyFont="1" applyFill="1" applyBorder="1" applyAlignment="1">
      <alignment horizontal="left" vertical="top" wrapText="1"/>
    </xf>
    <xf numFmtId="0" fontId="10" fillId="47" borderId="40" xfId="0" applyFont="1" applyFill="1" applyBorder="1" applyAlignment="1">
      <alignment horizontal="left" vertical="top" wrapText="1"/>
    </xf>
    <xf numFmtId="0" fontId="10" fillId="47" borderId="41" xfId="0" applyFont="1" applyFill="1" applyBorder="1" applyAlignment="1">
      <alignment horizontal="left" vertical="top" wrapText="1"/>
    </xf>
    <xf numFmtId="0" fontId="10" fillId="47" borderId="27" xfId="0" applyFont="1" applyFill="1" applyBorder="1" applyAlignment="1">
      <alignment horizontal="left" vertical="top" wrapText="1"/>
    </xf>
    <xf numFmtId="0" fontId="10" fillId="47" borderId="31" xfId="0" applyFont="1" applyFill="1" applyBorder="1" applyAlignment="1">
      <alignment horizontal="left" vertical="top" wrapText="1"/>
    </xf>
    <xf numFmtId="0" fontId="10" fillId="47" borderId="28" xfId="0" applyFont="1" applyFill="1" applyBorder="1" applyAlignment="1">
      <alignment horizontal="left" vertical="top" wrapText="1"/>
    </xf>
    <xf numFmtId="0" fontId="12" fillId="47" borderId="0" xfId="0" applyFont="1" applyFill="1" applyAlignment="1">
      <alignment horizontal="center"/>
    </xf>
    <xf numFmtId="0" fontId="2" fillId="47" borderId="0" xfId="0" applyFont="1" applyFill="1" applyAlignment="1">
      <alignment horizontal="center"/>
    </xf>
    <xf numFmtId="0" fontId="3" fillId="47" borderId="46" xfId="0" applyFont="1" applyFill="1" applyBorder="1" applyAlignment="1">
      <alignment horizontal="left" vertical="top" wrapText="1"/>
    </xf>
    <xf numFmtId="4" fontId="3" fillId="0" borderId="44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2" fillId="47" borderId="0" xfId="0" applyNumberFormat="1" applyFont="1" applyFill="1" applyAlignment="1">
      <alignment horizontal="center"/>
    </xf>
    <xf numFmtId="0" fontId="3" fillId="0" borderId="44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27" xfId="0" applyFont="1" applyFill="1" applyBorder="1" applyAlignment="1" applyProtection="1">
      <alignment horizontal="center"/>
      <protection locked="0"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19" fillId="0" borderId="0" xfId="52" applyFont="1" applyBorder="1" applyAlignment="1">
      <alignment horizontal="center" wrapText="1"/>
      <protection/>
    </xf>
    <xf numFmtId="0" fontId="8" fillId="0" borderId="0" xfId="52" applyFont="1" applyAlignment="1">
      <alignment horizontal="right" wrapText="1"/>
      <protection/>
    </xf>
    <xf numFmtId="0" fontId="16" fillId="0" borderId="0" xfId="52" applyFont="1" applyBorder="1" applyAlignment="1">
      <alignment horizontal="center" wrapText="1"/>
      <protection/>
    </xf>
    <xf numFmtId="0" fontId="18" fillId="0" borderId="0" xfId="52" applyFont="1" applyBorder="1" applyAlignment="1">
      <alignment horizontal="center" wrapText="1"/>
      <protection/>
    </xf>
    <xf numFmtId="4" fontId="8" fillId="38" borderId="44" xfId="52" applyNumberFormat="1" applyFont="1" applyFill="1" applyBorder="1" applyAlignment="1">
      <alignment horizontal="center" wrapText="1"/>
      <protection/>
    </xf>
    <xf numFmtId="4" fontId="8" fillId="38" borderId="48" xfId="52" applyNumberFormat="1" applyFont="1" applyFill="1" applyBorder="1" applyAlignment="1">
      <alignment horizontal="center" wrapText="1"/>
      <protection/>
    </xf>
    <xf numFmtId="4" fontId="8" fillId="38" borderId="45" xfId="52" applyNumberFormat="1" applyFont="1" applyFill="1" applyBorder="1" applyAlignment="1">
      <alignment horizontal="center" wrapText="1"/>
      <protection/>
    </xf>
    <xf numFmtId="4" fontId="8" fillId="38" borderId="49" xfId="52" applyNumberFormat="1" applyFont="1" applyFill="1" applyBorder="1" applyAlignment="1">
      <alignment horizontal="center" wrapText="1"/>
      <protection/>
    </xf>
    <xf numFmtId="0" fontId="19" fillId="0" borderId="0" xfId="52" applyFont="1" applyAlignment="1">
      <alignment horizontal="center" wrapText="1"/>
      <protection/>
    </xf>
    <xf numFmtId="0" fontId="20" fillId="0" borderId="12" xfId="52" applyFont="1" applyBorder="1" applyAlignment="1">
      <alignment horizontal="center" wrapText="1"/>
      <protection/>
    </xf>
    <xf numFmtId="0" fontId="20" fillId="0" borderId="18" xfId="52" applyFont="1" applyBorder="1" applyAlignment="1">
      <alignment horizontal="center" wrapText="1"/>
      <protection/>
    </xf>
    <xf numFmtId="0" fontId="8" fillId="0" borderId="10" xfId="52" applyFont="1" applyBorder="1" applyAlignment="1">
      <alignment wrapText="1"/>
      <protection/>
    </xf>
    <xf numFmtId="0" fontId="8" fillId="0" borderId="14" xfId="52" applyFont="1" applyBorder="1" applyAlignment="1">
      <alignment wrapText="1"/>
      <protection/>
    </xf>
    <xf numFmtId="0" fontId="8" fillId="0" borderId="16" xfId="52" applyFont="1" applyBorder="1" applyAlignment="1">
      <alignment wrapText="1"/>
      <protection/>
    </xf>
    <xf numFmtId="0" fontId="8" fillId="0" borderId="17" xfId="52" applyFont="1" applyBorder="1" applyAlignment="1">
      <alignment wrapText="1"/>
      <protection/>
    </xf>
    <xf numFmtId="0" fontId="20" fillId="0" borderId="43" xfId="52" applyFont="1" applyBorder="1" applyAlignment="1">
      <alignment horizontal="center" wrapText="1"/>
      <protection/>
    </xf>
    <xf numFmtId="0" fontId="20" fillId="0" borderId="50" xfId="52" applyFont="1" applyBorder="1" applyAlignment="1">
      <alignment horizontal="center" wrapText="1"/>
      <protection/>
    </xf>
    <xf numFmtId="0" fontId="8" fillId="0" borderId="0" xfId="52" applyFont="1" applyAlignment="1">
      <alignment horizontal="center"/>
      <protection/>
    </xf>
    <xf numFmtId="0" fontId="16" fillId="0" borderId="0" xfId="52" applyFont="1" applyBorder="1" applyAlignment="1">
      <alignment horizontal="center"/>
      <protection/>
    </xf>
    <xf numFmtId="0" fontId="16" fillId="0" borderId="0" xfId="52" applyFont="1" applyAlignment="1">
      <alignment horizontal="center" wrapText="1"/>
      <protection/>
    </xf>
    <xf numFmtId="0" fontId="31" fillId="0" borderId="0" xfId="52" applyFont="1" applyAlignment="1">
      <alignment horizontal="center" wrapText="1"/>
      <protection/>
    </xf>
    <xf numFmtId="0" fontId="16" fillId="0" borderId="0" xfId="52" applyFont="1" applyAlignment="1">
      <alignment horizontal="center"/>
      <protection/>
    </xf>
    <xf numFmtId="0" fontId="17" fillId="0" borderId="0" xfId="52" applyFont="1" applyAlignment="1">
      <alignment horizontal="center"/>
      <protection/>
    </xf>
    <xf numFmtId="0" fontId="8" fillId="0" borderId="51" xfId="52" applyFont="1" applyBorder="1" applyAlignment="1">
      <alignment horizontal="center"/>
      <protection/>
    </xf>
    <xf numFmtId="0" fontId="8" fillId="0" borderId="36" xfId="52" applyFont="1" applyBorder="1" applyAlignment="1">
      <alignment horizontal="center"/>
      <protection/>
    </xf>
    <xf numFmtId="0" fontId="8" fillId="0" borderId="48" xfId="52" applyFont="1" applyBorder="1" applyAlignment="1">
      <alignment horizontal="center"/>
      <protection/>
    </xf>
    <xf numFmtId="0" fontId="15" fillId="0" borderId="0" xfId="52" applyAlignment="1">
      <alignment horizontal="center"/>
      <protection/>
    </xf>
    <xf numFmtId="0" fontId="19" fillId="0" borderId="0" xfId="52" applyFont="1" applyBorder="1" applyAlignment="1">
      <alignment horizontal="center"/>
      <protection/>
    </xf>
    <xf numFmtId="0" fontId="16" fillId="0" borderId="36" xfId="52" applyFont="1" applyBorder="1" applyAlignment="1">
      <alignment horizontal="center" wrapText="1"/>
      <protection/>
    </xf>
    <xf numFmtId="0" fontId="19" fillId="0" borderId="36" xfId="52" applyFont="1" applyBorder="1" applyAlignment="1">
      <alignment horizontal="center" wrapText="1"/>
      <protection/>
    </xf>
    <xf numFmtId="0" fontId="19" fillId="0" borderId="21" xfId="52" applyFont="1" applyBorder="1" applyAlignment="1">
      <alignment horizontal="center" wrapText="1"/>
      <protection/>
    </xf>
    <xf numFmtId="0" fontId="15" fillId="0" borderId="0" xfId="52" applyFont="1" applyAlignment="1">
      <alignment horizontal="center"/>
      <protection/>
    </xf>
    <xf numFmtId="0" fontId="22" fillId="0" borderId="0" xfId="52" applyFont="1" applyAlignment="1">
      <alignment horizontal="center" wrapText="1"/>
      <protection/>
    </xf>
    <xf numFmtId="0" fontId="23" fillId="0" borderId="0" xfId="52" applyFont="1" applyAlignment="1">
      <alignment horizontal="center" vertical="center"/>
      <protection/>
    </xf>
    <xf numFmtId="0" fontId="24" fillId="0" borderId="0" xfId="52" applyFont="1" applyAlignment="1">
      <alignment horizontal="center" vertical="center" wrapText="1"/>
      <protection/>
    </xf>
    <xf numFmtId="0" fontId="26" fillId="0" borderId="0" xfId="52" applyFont="1" applyAlignment="1">
      <alignment horizontal="center" wrapText="1"/>
      <protection/>
    </xf>
    <xf numFmtId="0" fontId="17" fillId="0" borderId="0" xfId="52" applyFont="1" applyAlignment="1">
      <alignment horizontal="center" wrapText="1"/>
      <protection/>
    </xf>
    <xf numFmtId="0" fontId="16" fillId="0" borderId="38" xfId="52" applyFont="1" applyBorder="1" applyAlignment="1">
      <alignment horizontal="center" vertical="top" wrapText="1"/>
      <protection/>
    </xf>
    <xf numFmtId="0" fontId="17" fillId="0" borderId="0" xfId="52" applyFont="1" applyBorder="1" applyAlignment="1">
      <alignment horizontal="center" vertical="top" wrapText="1"/>
      <protection/>
    </xf>
    <xf numFmtId="0" fontId="17" fillId="0" borderId="39" xfId="52" applyFont="1" applyBorder="1" applyAlignment="1">
      <alignment horizontal="center" vertical="top" wrapText="1"/>
      <protection/>
    </xf>
    <xf numFmtId="0" fontId="27" fillId="0" borderId="38" xfId="52" applyFont="1" applyBorder="1" applyAlignment="1">
      <alignment horizontal="center" vertical="top" wrapText="1"/>
      <protection/>
    </xf>
    <xf numFmtId="0" fontId="19" fillId="0" borderId="0" xfId="52" applyFont="1" applyBorder="1" applyAlignment="1">
      <alignment horizontal="center" vertical="top" wrapText="1"/>
      <protection/>
    </xf>
    <xf numFmtId="0" fontId="19" fillId="0" borderId="39" xfId="52" applyFont="1" applyBorder="1" applyAlignment="1">
      <alignment horizontal="center" vertical="top" wrapText="1"/>
      <protection/>
    </xf>
    <xf numFmtId="0" fontId="19" fillId="0" borderId="37" xfId="52" applyFont="1" applyBorder="1" applyAlignment="1">
      <alignment horizontal="center" wrapText="1"/>
      <protection/>
    </xf>
    <xf numFmtId="0" fontId="19" fillId="0" borderId="47" xfId="52" applyFont="1" applyBorder="1" applyAlignment="1">
      <alignment horizontal="center" wrapText="1"/>
      <protection/>
    </xf>
    <xf numFmtId="0" fontId="27" fillId="0" borderId="52" xfId="52" applyFont="1" applyBorder="1" applyAlignment="1">
      <alignment horizontal="center" vertical="top" wrapText="1"/>
      <protection/>
    </xf>
    <xf numFmtId="0" fontId="27" fillId="0" borderId="53" xfId="52" applyFont="1" applyBorder="1" applyAlignment="1">
      <alignment horizontal="center" vertical="top" wrapText="1"/>
      <protection/>
    </xf>
    <xf numFmtId="0" fontId="27" fillId="0" borderId="54" xfId="52" applyFont="1" applyBorder="1" applyAlignment="1">
      <alignment horizontal="center" vertical="top" wrapText="1"/>
      <protection/>
    </xf>
    <xf numFmtId="0" fontId="16" fillId="0" borderId="0" xfId="52" applyFont="1" applyBorder="1" applyAlignment="1">
      <alignment horizontal="center" vertical="top" wrapText="1"/>
      <protection/>
    </xf>
    <xf numFmtId="16" fontId="19" fillId="0" borderId="0" xfId="52" applyNumberFormat="1" applyFont="1" applyBorder="1" applyAlignment="1">
      <alignment horizontal="center" vertical="top" wrapText="1"/>
      <protection/>
    </xf>
    <xf numFmtId="0" fontId="19" fillId="0" borderId="39" xfId="52" applyFont="1" applyBorder="1" applyAlignment="1">
      <alignment horizontal="center"/>
      <protection/>
    </xf>
    <xf numFmtId="0" fontId="19" fillId="0" borderId="39" xfId="52" applyFont="1" applyBorder="1" applyAlignment="1">
      <alignment horizontal="center" wrapText="1"/>
      <protection/>
    </xf>
    <xf numFmtId="0" fontId="19" fillId="0" borderId="27" xfId="52" applyFont="1" applyBorder="1" applyAlignment="1">
      <alignment horizontal="center" vertical="top" wrapText="1"/>
      <protection/>
    </xf>
    <xf numFmtId="0" fontId="16" fillId="0" borderId="31" xfId="52" applyFont="1" applyBorder="1" applyAlignment="1">
      <alignment horizontal="center" vertical="top" wrapText="1"/>
      <protection/>
    </xf>
    <xf numFmtId="0" fontId="19" fillId="0" borderId="31" xfId="52" applyFont="1" applyBorder="1" applyAlignment="1">
      <alignment horizontal="center" vertical="top" wrapText="1"/>
      <protection/>
    </xf>
    <xf numFmtId="0" fontId="8" fillId="0" borderId="13" xfId="52" applyFont="1" applyBorder="1" applyAlignment="1">
      <alignment horizontal="center" vertical="top" wrapText="1"/>
      <protection/>
    </xf>
    <xf numFmtId="0" fontId="8" fillId="0" borderId="10" xfId="52" applyFont="1" applyBorder="1" applyAlignment="1">
      <alignment horizontal="center" vertical="top" wrapText="1"/>
      <protection/>
    </xf>
    <xf numFmtId="0" fontId="8" fillId="0" borderId="14" xfId="52" applyFont="1" applyBorder="1" applyAlignment="1">
      <alignment horizontal="center" vertical="top" wrapText="1"/>
      <protection/>
    </xf>
    <xf numFmtId="0" fontId="16" fillId="0" borderId="28" xfId="52" applyFont="1" applyBorder="1" applyAlignment="1">
      <alignment horizontal="center" vertical="top" wrapText="1"/>
      <protection/>
    </xf>
    <xf numFmtId="0" fontId="17" fillId="0" borderId="28" xfId="52" applyFont="1" applyBorder="1" applyAlignment="1">
      <alignment horizontal="center" vertical="top" wrapText="1"/>
      <protection/>
    </xf>
    <xf numFmtId="0" fontId="29" fillId="0" borderId="0" xfId="52" applyFont="1" applyAlignment="1">
      <alignment horizontal="center"/>
      <protection/>
    </xf>
    <xf numFmtId="0" fontId="8" fillId="0" borderId="35" xfId="0" applyFont="1" applyFill="1" applyBorder="1" applyAlignment="1">
      <alignment horizontal="center"/>
    </xf>
    <xf numFmtId="0" fontId="8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 wrapText="1"/>
    </xf>
    <xf numFmtId="0" fontId="8" fillId="44" borderId="44" xfId="0" applyFont="1" applyFill="1" applyBorder="1" applyAlignment="1">
      <alignment horizontal="left" vertical="top" wrapText="1"/>
    </xf>
    <xf numFmtId="0" fontId="8" fillId="44" borderId="21" xfId="0" applyFont="1" applyFill="1" applyBorder="1" applyAlignment="1">
      <alignment horizontal="left" vertical="top" wrapText="1"/>
    </xf>
    <xf numFmtId="169" fontId="13" fillId="44" borderId="44" xfId="0" applyNumberFormat="1" applyFont="1" applyFill="1" applyBorder="1" applyAlignment="1">
      <alignment horizontal="right"/>
    </xf>
    <xf numFmtId="0" fontId="13" fillId="44" borderId="21" xfId="0" applyFont="1" applyFill="1" applyBorder="1" applyAlignment="1">
      <alignment horizontal="right"/>
    </xf>
    <xf numFmtId="0" fontId="8" fillId="45" borderId="44" xfId="0" applyFont="1" applyFill="1" applyBorder="1" applyAlignment="1">
      <alignment horizontal="left" vertical="top" wrapText="1"/>
    </xf>
    <xf numFmtId="0" fontId="8" fillId="45" borderId="21" xfId="0" applyFont="1" applyFill="1" applyBorder="1" applyAlignment="1">
      <alignment horizontal="left" vertical="top" wrapText="1"/>
    </xf>
    <xf numFmtId="169" fontId="8" fillId="45" borderId="44" xfId="0" applyNumberFormat="1" applyFont="1" applyFill="1" applyBorder="1" applyAlignment="1">
      <alignment/>
    </xf>
    <xf numFmtId="169" fontId="8" fillId="45" borderId="21" xfId="0" applyNumberFormat="1" applyFont="1" applyFill="1" applyBorder="1" applyAlignment="1">
      <alignment/>
    </xf>
    <xf numFmtId="169" fontId="8" fillId="0" borderId="44" xfId="0" applyNumberFormat="1" applyFont="1" applyFill="1" applyBorder="1" applyAlignment="1">
      <alignment/>
    </xf>
    <xf numFmtId="169" fontId="8" fillId="0" borderId="21" xfId="0" applyNumberFormat="1" applyFont="1" applyFill="1" applyBorder="1" applyAlignment="1">
      <alignment/>
    </xf>
    <xf numFmtId="169" fontId="8" fillId="47" borderId="44" xfId="0" applyNumberFormat="1" applyFont="1" applyFill="1" applyBorder="1" applyAlignment="1">
      <alignment/>
    </xf>
    <xf numFmtId="169" fontId="8" fillId="47" borderId="21" xfId="0" applyNumberFormat="1" applyFont="1" applyFill="1" applyBorder="1" applyAlignment="1">
      <alignment/>
    </xf>
    <xf numFmtId="0" fontId="8" fillId="47" borderId="44" xfId="0" applyFont="1" applyFill="1" applyBorder="1" applyAlignment="1">
      <alignment horizontal="left" vertical="top" wrapText="1"/>
    </xf>
    <xf numFmtId="0" fontId="8" fillId="47" borderId="21" xfId="0" applyFont="1" applyFill="1" applyBorder="1" applyAlignment="1">
      <alignment horizontal="left" vertical="top" wrapText="1"/>
    </xf>
    <xf numFmtId="169" fontId="8" fillId="45" borderId="44" xfId="0" applyNumberFormat="1" applyFont="1" applyFill="1" applyBorder="1" applyAlignment="1">
      <alignment horizontal="right"/>
    </xf>
    <xf numFmtId="169" fontId="8" fillId="45" borderId="21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horizontal="left" vertical="top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170" fontId="8" fillId="0" borderId="10" xfId="0" applyNumberFormat="1" applyFont="1" applyFill="1" applyBorder="1" applyAlignment="1">
      <alignment horizontal="center" vertical="center" wrapText="1"/>
    </xf>
    <xf numFmtId="170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169" fontId="8" fillId="0" borderId="44" xfId="0" applyNumberFormat="1" applyFont="1" applyFill="1" applyBorder="1" applyAlignment="1">
      <alignment horizontal="center" vertical="center" wrapText="1"/>
    </xf>
    <xf numFmtId="169" fontId="8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39" fillId="0" borderId="0" xfId="0" applyFont="1" applyFill="1" applyAlignment="1">
      <alignment horizontal="center"/>
    </xf>
    <xf numFmtId="0" fontId="39" fillId="0" borderId="35" xfId="0" applyFont="1" applyFill="1" applyBorder="1" applyAlignment="1">
      <alignment horizontal="center"/>
    </xf>
    <xf numFmtId="169" fontId="8" fillId="49" borderId="44" xfId="0" applyNumberFormat="1" applyFont="1" applyFill="1" applyBorder="1" applyAlignment="1">
      <alignment/>
    </xf>
    <xf numFmtId="169" fontId="8" fillId="49" borderId="21" xfId="0" applyNumberFormat="1" applyFont="1" applyFill="1" applyBorder="1" applyAlignment="1">
      <alignment/>
    </xf>
    <xf numFmtId="0" fontId="8" fillId="0" borderId="44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8" fillId="0" borderId="36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169" fontId="8" fillId="47" borderId="44" xfId="0" applyNumberFormat="1" applyFont="1" applyFill="1" applyBorder="1" applyAlignment="1">
      <alignment horizontal="right"/>
    </xf>
    <xf numFmtId="169" fontId="8" fillId="47" borderId="21" xfId="0" applyNumberFormat="1" applyFont="1" applyFill="1" applyBorder="1" applyAlignment="1">
      <alignment horizontal="right"/>
    </xf>
    <xf numFmtId="0" fontId="8" fillId="0" borderId="44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47" borderId="10" xfId="0" applyFont="1" applyFill="1" applyBorder="1" applyAlignment="1">
      <alignment horizontal="left" vertical="top" wrapText="1"/>
    </xf>
    <xf numFmtId="0" fontId="8" fillId="47" borderId="36" xfId="0" applyFont="1" applyFill="1" applyBorder="1" applyAlignment="1">
      <alignment horizontal="center" vertical="top" wrapText="1"/>
    </xf>
    <xf numFmtId="0" fontId="8" fillId="47" borderId="21" xfId="0" applyFont="1" applyFill="1" applyBorder="1" applyAlignment="1">
      <alignment horizontal="center" vertical="top" wrapText="1"/>
    </xf>
    <xf numFmtId="0" fontId="8" fillId="47" borderId="36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4"/>
  <sheetViews>
    <sheetView tabSelected="1" zoomScaleSheetLayoutView="100" zoomScalePageLayoutView="0" workbookViewId="0" topLeftCell="A135">
      <selection activeCell="B210" sqref="B210:D210"/>
    </sheetView>
  </sheetViews>
  <sheetFormatPr defaultColWidth="9.140625" defaultRowHeight="15"/>
  <cols>
    <col min="1" max="1" width="6.421875" style="1" customWidth="1"/>
    <col min="2" max="2" width="10.00390625" style="1" customWidth="1"/>
    <col min="3" max="3" width="13.57421875" style="307" customWidth="1"/>
    <col min="4" max="4" width="6.7109375" style="1" customWidth="1"/>
    <col min="5" max="6" width="5.7109375" style="1" customWidth="1"/>
    <col min="7" max="7" width="6.8515625" style="1" customWidth="1"/>
    <col min="8" max="9" width="5.8515625" style="1" customWidth="1"/>
    <col min="10" max="10" width="6.140625" style="1" customWidth="1"/>
    <col min="11" max="11" width="8.421875" style="1" customWidth="1"/>
    <col min="12" max="12" width="6.7109375" style="1" customWidth="1"/>
    <col min="13" max="13" width="5.7109375" style="1" customWidth="1"/>
    <col min="14" max="14" width="6.421875" style="1" customWidth="1"/>
    <col min="15" max="15" width="6.00390625" style="1" customWidth="1"/>
    <col min="16" max="16" width="12.57421875" style="1" customWidth="1"/>
    <col min="17" max="17" width="7.8515625" style="1" customWidth="1"/>
    <col min="18" max="18" width="14.28125" style="1" customWidth="1"/>
    <col min="19" max="19" width="12.8515625" style="1" customWidth="1"/>
    <col min="20" max="20" width="11.00390625" style="1" customWidth="1"/>
    <col min="21" max="16384" width="9.140625" style="1" customWidth="1"/>
  </cols>
  <sheetData>
    <row r="1" spans="3:18" ht="11.25" customHeight="1">
      <c r="C1" s="323"/>
      <c r="R1" s="2" t="s">
        <v>0</v>
      </c>
    </row>
    <row r="2" spans="1:18" ht="11.25" customHeight="1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54" t="s">
        <v>1</v>
      </c>
    </row>
    <row r="3" spans="1:18" ht="12" customHeight="1">
      <c r="A3" s="323"/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54" t="s">
        <v>2</v>
      </c>
    </row>
    <row r="4" spans="1:18" ht="12" customHeight="1">
      <c r="A4" s="323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54" t="s">
        <v>3</v>
      </c>
    </row>
    <row r="5" spans="1:18" ht="12" customHeight="1">
      <c r="A5" s="323"/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54" t="s">
        <v>4</v>
      </c>
    </row>
    <row r="6" spans="1:18" ht="10.5" customHeight="1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54" t="s">
        <v>5</v>
      </c>
    </row>
    <row r="7" spans="1:18" ht="11.25" customHeight="1">
      <c r="A7" s="323"/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54" t="s">
        <v>6</v>
      </c>
    </row>
    <row r="8" spans="1:18" ht="11.25" customHeight="1">
      <c r="A8" s="323"/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54" t="s">
        <v>7</v>
      </c>
    </row>
    <row r="9" spans="1:18" ht="11.25" customHeight="1">
      <c r="A9" s="323"/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54" t="s">
        <v>8</v>
      </c>
    </row>
    <row r="10" spans="1:18" ht="12" customHeight="1">
      <c r="A10" s="323"/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54" t="s">
        <v>9</v>
      </c>
    </row>
    <row r="11" spans="1:18" ht="15" hidden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</row>
    <row r="12" spans="1:18" ht="15">
      <c r="A12" s="323"/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</row>
    <row r="13" spans="1:18" ht="15" customHeight="1">
      <c r="A13" s="601" t="s">
        <v>10</v>
      </c>
      <c r="B13" s="601"/>
      <c r="C13" s="601"/>
      <c r="D13" s="601"/>
      <c r="E13" s="601"/>
      <c r="F13" s="601"/>
      <c r="G13" s="601"/>
      <c r="H13" s="601"/>
      <c r="I13" s="601"/>
      <c r="J13" s="601"/>
      <c r="K13" s="601"/>
      <c r="L13" s="601"/>
      <c r="M13" s="601"/>
      <c r="N13" s="601"/>
      <c r="O13" s="601"/>
      <c r="P13" s="601"/>
      <c r="Q13" s="601"/>
      <c r="R13" s="601"/>
    </row>
    <row r="14" spans="1:18" ht="15">
      <c r="A14" s="470" t="s">
        <v>11</v>
      </c>
      <c r="B14" s="470"/>
      <c r="C14" s="470"/>
      <c r="D14" s="470"/>
      <c r="E14" s="470"/>
      <c r="F14" s="470"/>
      <c r="G14" s="470"/>
      <c r="H14" s="470"/>
      <c r="I14" s="470"/>
      <c r="J14" s="470"/>
      <c r="K14" s="470"/>
      <c r="L14" s="470"/>
      <c r="M14" s="470"/>
      <c r="N14" s="470"/>
      <c r="O14" s="470"/>
      <c r="P14" s="470"/>
      <c r="Q14" s="470"/>
      <c r="R14" s="470"/>
    </row>
    <row r="15" spans="1:18" ht="15">
      <c r="A15" s="602" t="s">
        <v>464</v>
      </c>
      <c r="B15" s="470"/>
      <c r="C15" s="470"/>
      <c r="D15" s="470"/>
      <c r="E15" s="470"/>
      <c r="F15" s="470"/>
      <c r="G15" s="470"/>
      <c r="H15" s="470"/>
      <c r="I15" s="470"/>
      <c r="J15" s="470"/>
      <c r="K15" s="470"/>
      <c r="L15" s="470"/>
      <c r="M15" s="470"/>
      <c r="N15" s="470"/>
      <c r="O15" s="470"/>
      <c r="P15" s="470"/>
      <c r="Q15" s="470"/>
      <c r="R15" s="470"/>
    </row>
    <row r="16" spans="1:27" ht="29.25" customHeight="1">
      <c r="A16" s="452" t="s">
        <v>448</v>
      </c>
      <c r="B16" s="452"/>
      <c r="C16" s="452"/>
      <c r="D16" s="452"/>
      <c r="E16" s="452"/>
      <c r="F16" s="452"/>
      <c r="G16" s="452"/>
      <c r="H16" s="452"/>
      <c r="I16" s="452"/>
      <c r="J16" s="452"/>
      <c r="K16" s="452"/>
      <c r="L16" s="452"/>
      <c r="M16" s="452"/>
      <c r="N16" s="452"/>
      <c r="O16" s="452"/>
      <c r="P16" s="452"/>
      <c r="Q16" s="452"/>
      <c r="R16" s="452"/>
      <c r="S16" s="301"/>
      <c r="T16" s="301"/>
      <c r="U16" s="295"/>
      <c r="V16" s="295"/>
      <c r="W16" s="295"/>
      <c r="X16" s="295"/>
      <c r="Y16" s="295"/>
      <c r="Z16" s="295"/>
      <c r="AA16" s="295"/>
    </row>
    <row r="17" spans="1:18" ht="15">
      <c r="A17" s="323"/>
      <c r="B17" s="323"/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</row>
    <row r="18" spans="1:18" ht="15">
      <c r="A18" s="323"/>
      <c r="B18" s="323" t="s">
        <v>12</v>
      </c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</row>
    <row r="19" spans="1:18" ht="115.5" customHeight="1">
      <c r="A19" s="355" t="s">
        <v>13</v>
      </c>
      <c r="B19" s="355" t="s">
        <v>14</v>
      </c>
      <c r="C19" s="355" t="s">
        <v>15</v>
      </c>
      <c r="D19" s="558" t="s">
        <v>16</v>
      </c>
      <c r="E19" s="559"/>
      <c r="F19" s="558" t="s">
        <v>17</v>
      </c>
      <c r="G19" s="559"/>
      <c r="H19" s="558" t="s">
        <v>22</v>
      </c>
      <c r="I19" s="559"/>
      <c r="J19" s="558" t="s">
        <v>23</v>
      </c>
      <c r="K19" s="559"/>
      <c r="L19" s="558" t="s">
        <v>21</v>
      </c>
      <c r="M19" s="559"/>
      <c r="N19" s="558" t="s">
        <v>20</v>
      </c>
      <c r="O19" s="559"/>
      <c r="P19" s="355" t="s">
        <v>19</v>
      </c>
      <c r="Q19" s="558" t="s">
        <v>18</v>
      </c>
      <c r="R19" s="559"/>
    </row>
    <row r="20" spans="1:18" s="13" customFormat="1" ht="222" customHeight="1">
      <c r="A20" s="582">
        <v>1</v>
      </c>
      <c r="B20" s="582" t="s">
        <v>100</v>
      </c>
      <c r="C20" s="598" t="s">
        <v>146</v>
      </c>
      <c r="D20" s="582" t="s">
        <v>107</v>
      </c>
      <c r="E20" s="582"/>
      <c r="F20" s="592" t="s">
        <v>147</v>
      </c>
      <c r="G20" s="593"/>
      <c r="H20" s="592" t="s">
        <v>108</v>
      </c>
      <c r="I20" s="593"/>
      <c r="J20" s="574" t="s">
        <v>148</v>
      </c>
      <c r="K20" s="574"/>
      <c r="L20" s="582" t="s">
        <v>101</v>
      </c>
      <c r="M20" s="582"/>
      <c r="N20" s="582" t="s">
        <v>109</v>
      </c>
      <c r="O20" s="582"/>
      <c r="P20" s="574" t="s">
        <v>149</v>
      </c>
      <c r="Q20" s="583" t="s">
        <v>150</v>
      </c>
      <c r="R20" s="584"/>
    </row>
    <row r="21" spans="1:18" s="13" customFormat="1" ht="60.75" customHeight="1">
      <c r="A21" s="582"/>
      <c r="B21" s="582"/>
      <c r="C21" s="599"/>
      <c r="D21" s="582"/>
      <c r="E21" s="582"/>
      <c r="F21" s="594"/>
      <c r="G21" s="595"/>
      <c r="H21" s="594"/>
      <c r="I21" s="595"/>
      <c r="J21" s="574"/>
      <c r="K21" s="574"/>
      <c r="L21" s="582"/>
      <c r="M21" s="582"/>
      <c r="N21" s="582"/>
      <c r="O21" s="582"/>
      <c r="P21" s="574"/>
      <c r="Q21" s="585"/>
      <c r="R21" s="586"/>
    </row>
    <row r="22" spans="1:18" s="13" customFormat="1" ht="60.75" customHeight="1">
      <c r="A22" s="582"/>
      <c r="B22" s="582"/>
      <c r="C22" s="599"/>
      <c r="D22" s="582"/>
      <c r="E22" s="582"/>
      <c r="F22" s="594"/>
      <c r="G22" s="595"/>
      <c r="H22" s="594"/>
      <c r="I22" s="595"/>
      <c r="J22" s="574"/>
      <c r="K22" s="574"/>
      <c r="L22" s="582"/>
      <c r="M22" s="582"/>
      <c r="N22" s="582"/>
      <c r="O22" s="582"/>
      <c r="P22" s="574"/>
      <c r="Q22" s="585"/>
      <c r="R22" s="586"/>
    </row>
    <row r="23" spans="1:18" s="13" customFormat="1" ht="60.75" customHeight="1">
      <c r="A23" s="582"/>
      <c r="B23" s="582"/>
      <c r="C23" s="599"/>
      <c r="D23" s="582"/>
      <c r="E23" s="582"/>
      <c r="F23" s="594"/>
      <c r="G23" s="595"/>
      <c r="H23" s="594"/>
      <c r="I23" s="595"/>
      <c r="J23" s="574"/>
      <c r="K23" s="574"/>
      <c r="L23" s="582"/>
      <c r="M23" s="582"/>
      <c r="N23" s="582"/>
      <c r="O23" s="582"/>
      <c r="P23" s="574"/>
      <c r="Q23" s="585"/>
      <c r="R23" s="586"/>
    </row>
    <row r="24" spans="1:18" s="13" customFormat="1" ht="60.75" customHeight="1">
      <c r="A24" s="582"/>
      <c r="B24" s="582"/>
      <c r="C24" s="599"/>
      <c r="D24" s="582"/>
      <c r="E24" s="582"/>
      <c r="F24" s="594"/>
      <c r="G24" s="595"/>
      <c r="H24" s="594"/>
      <c r="I24" s="595"/>
      <c r="J24" s="574"/>
      <c r="K24" s="574"/>
      <c r="L24" s="582"/>
      <c r="M24" s="582"/>
      <c r="N24" s="582"/>
      <c r="O24" s="582"/>
      <c r="P24" s="574"/>
      <c r="Q24" s="585"/>
      <c r="R24" s="586"/>
    </row>
    <row r="25" spans="1:18" s="13" customFormat="1" ht="60.75" customHeight="1">
      <c r="A25" s="582"/>
      <c r="B25" s="582"/>
      <c r="C25" s="599"/>
      <c r="D25" s="582"/>
      <c r="E25" s="582"/>
      <c r="F25" s="594"/>
      <c r="G25" s="595"/>
      <c r="H25" s="594"/>
      <c r="I25" s="595"/>
      <c r="J25" s="574"/>
      <c r="K25" s="574"/>
      <c r="L25" s="582"/>
      <c r="M25" s="582"/>
      <c r="N25" s="582"/>
      <c r="O25" s="582"/>
      <c r="P25" s="574"/>
      <c r="Q25" s="585"/>
      <c r="R25" s="586"/>
    </row>
    <row r="26" spans="1:18" s="13" customFormat="1" ht="60.75" customHeight="1">
      <c r="A26" s="582"/>
      <c r="B26" s="582"/>
      <c r="C26" s="599"/>
      <c r="D26" s="582"/>
      <c r="E26" s="582"/>
      <c r="F26" s="594"/>
      <c r="G26" s="595"/>
      <c r="H26" s="594"/>
      <c r="I26" s="595"/>
      <c r="J26" s="574"/>
      <c r="K26" s="574"/>
      <c r="L26" s="582"/>
      <c r="M26" s="582"/>
      <c r="N26" s="582"/>
      <c r="O26" s="582"/>
      <c r="P26" s="574"/>
      <c r="Q26" s="585"/>
      <c r="R26" s="586"/>
    </row>
    <row r="27" spans="1:18" s="13" customFormat="1" ht="72" customHeight="1">
      <c r="A27" s="582"/>
      <c r="B27" s="582"/>
      <c r="C27" s="599"/>
      <c r="D27" s="582"/>
      <c r="E27" s="582"/>
      <c r="F27" s="594"/>
      <c r="G27" s="595"/>
      <c r="H27" s="594"/>
      <c r="I27" s="595"/>
      <c r="J27" s="574"/>
      <c r="K27" s="574"/>
      <c r="L27" s="582"/>
      <c r="M27" s="582"/>
      <c r="N27" s="582"/>
      <c r="O27" s="582"/>
      <c r="P27" s="574"/>
      <c r="Q27" s="585"/>
      <c r="R27" s="586"/>
    </row>
    <row r="28" spans="1:18" s="13" customFormat="1" ht="34.5" customHeight="1" hidden="1">
      <c r="A28" s="582"/>
      <c r="B28" s="582"/>
      <c r="C28" s="599"/>
      <c r="D28" s="582"/>
      <c r="E28" s="582"/>
      <c r="F28" s="594"/>
      <c r="G28" s="595"/>
      <c r="H28" s="594"/>
      <c r="I28" s="595"/>
      <c r="J28" s="574"/>
      <c r="K28" s="574"/>
      <c r="L28" s="582"/>
      <c r="M28" s="582"/>
      <c r="N28" s="582"/>
      <c r="O28" s="582"/>
      <c r="P28" s="574"/>
      <c r="Q28" s="585"/>
      <c r="R28" s="586"/>
    </row>
    <row r="29" spans="1:18" s="13" customFormat="1" ht="60.75" customHeight="1" hidden="1">
      <c r="A29" s="582"/>
      <c r="B29" s="582"/>
      <c r="C29" s="599"/>
      <c r="D29" s="582"/>
      <c r="E29" s="582"/>
      <c r="F29" s="594"/>
      <c r="G29" s="595"/>
      <c r="H29" s="594"/>
      <c r="I29" s="595"/>
      <c r="J29" s="574"/>
      <c r="K29" s="574"/>
      <c r="L29" s="582"/>
      <c r="M29" s="582"/>
      <c r="N29" s="582"/>
      <c r="O29" s="582"/>
      <c r="P29" s="574"/>
      <c r="Q29" s="585"/>
      <c r="R29" s="586"/>
    </row>
    <row r="30" spans="1:18" s="13" customFormat="1" ht="49.5" customHeight="1">
      <c r="A30" s="582"/>
      <c r="B30" s="582"/>
      <c r="C30" s="600"/>
      <c r="D30" s="582"/>
      <c r="E30" s="582"/>
      <c r="F30" s="596"/>
      <c r="G30" s="597"/>
      <c r="H30" s="596"/>
      <c r="I30" s="597"/>
      <c r="J30" s="574"/>
      <c r="K30" s="574"/>
      <c r="L30" s="582"/>
      <c r="M30" s="582"/>
      <c r="N30" s="582"/>
      <c r="O30" s="582"/>
      <c r="P30" s="574"/>
      <c r="Q30" s="587"/>
      <c r="R30" s="588"/>
    </row>
    <row r="31" spans="1:18" s="13" customFormat="1" ht="5.25" customHeight="1">
      <c r="A31" s="320"/>
      <c r="B31" s="320"/>
      <c r="C31" s="321"/>
      <c r="D31" s="320"/>
      <c r="E31" s="320"/>
      <c r="F31" s="321"/>
      <c r="G31" s="321"/>
      <c r="H31" s="321"/>
      <c r="I31" s="321"/>
      <c r="J31" s="322"/>
      <c r="K31" s="322"/>
      <c r="L31" s="320"/>
      <c r="M31" s="320"/>
      <c r="N31" s="320"/>
      <c r="O31" s="320"/>
      <c r="P31" s="322"/>
      <c r="Q31" s="322"/>
      <c r="R31" s="322"/>
    </row>
    <row r="32" spans="1:18" s="13" customFormat="1" ht="5.25" customHeight="1">
      <c r="A32" s="320"/>
      <c r="B32" s="320"/>
      <c r="C32" s="321"/>
      <c r="D32" s="320"/>
      <c r="E32" s="320"/>
      <c r="F32" s="321"/>
      <c r="G32" s="321"/>
      <c r="H32" s="321"/>
      <c r="I32" s="321"/>
      <c r="J32" s="322"/>
      <c r="K32" s="322"/>
      <c r="L32" s="320"/>
      <c r="M32" s="320"/>
      <c r="N32" s="320"/>
      <c r="O32" s="320"/>
      <c r="P32" s="322"/>
      <c r="Q32" s="322"/>
      <c r="R32" s="322"/>
    </row>
    <row r="33" spans="1:18" s="13" customFormat="1" ht="27" customHeight="1">
      <c r="A33" s="320"/>
      <c r="B33" s="320"/>
      <c r="C33" s="321"/>
      <c r="D33" s="320"/>
      <c r="E33" s="320"/>
      <c r="F33" s="321"/>
      <c r="G33" s="321"/>
      <c r="H33" s="321"/>
      <c r="I33" s="321"/>
      <c r="J33" s="322"/>
      <c r="K33" s="322"/>
      <c r="L33" s="320"/>
      <c r="M33" s="320"/>
      <c r="N33" s="320"/>
      <c r="O33" s="320"/>
      <c r="P33" s="322"/>
      <c r="Q33" s="322"/>
      <c r="R33" s="322"/>
    </row>
    <row r="34" spans="1:18" s="13" customFormat="1" ht="19.5" customHeight="1">
      <c r="A34" s="320"/>
      <c r="B34" s="320"/>
      <c r="C34" s="321"/>
      <c r="D34" s="320"/>
      <c r="E34" s="320"/>
      <c r="F34" s="321"/>
      <c r="G34" s="321"/>
      <c r="H34" s="321"/>
      <c r="I34" s="321"/>
      <c r="J34" s="322"/>
      <c r="K34" s="322"/>
      <c r="L34" s="320"/>
      <c r="M34" s="320"/>
      <c r="N34" s="320"/>
      <c r="O34" s="320"/>
      <c r="P34" s="322"/>
      <c r="Q34" s="322"/>
      <c r="R34" s="322"/>
    </row>
    <row r="35" spans="1:18" ht="15">
      <c r="A35" s="323"/>
      <c r="B35" s="323"/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</row>
    <row r="36" spans="1:18" ht="15">
      <c r="A36" s="323"/>
      <c r="B36" s="323"/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</row>
    <row r="37" spans="1:18" ht="15">
      <c r="A37" s="323"/>
      <c r="B37" s="323" t="s">
        <v>24</v>
      </c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</row>
    <row r="38" spans="1:18" ht="15">
      <c r="A38" s="323"/>
      <c r="B38" s="323"/>
      <c r="C38" s="323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323"/>
    </row>
    <row r="39" spans="1:18" ht="15" customHeight="1">
      <c r="A39" s="558" t="s">
        <v>14</v>
      </c>
      <c r="B39" s="559"/>
      <c r="C39" s="581" t="s">
        <v>29</v>
      </c>
      <c r="D39" s="557" t="s">
        <v>25</v>
      </c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O39" s="557"/>
      <c r="P39" s="557"/>
      <c r="Q39" s="557"/>
      <c r="R39" s="557"/>
    </row>
    <row r="40" spans="1:18" ht="28.5" customHeight="1">
      <c r="A40" s="589"/>
      <c r="B40" s="590"/>
      <c r="C40" s="591"/>
      <c r="D40" s="557" t="s">
        <v>26</v>
      </c>
      <c r="E40" s="557"/>
      <c r="F40" s="557"/>
      <c r="G40" s="557"/>
      <c r="H40" s="557"/>
      <c r="I40" s="557"/>
      <c r="J40" s="495" t="s">
        <v>27</v>
      </c>
      <c r="K40" s="496"/>
      <c r="L40" s="496"/>
      <c r="M40" s="496"/>
      <c r="N40" s="496"/>
      <c r="O40" s="497"/>
      <c r="P40" s="557" t="s">
        <v>28</v>
      </c>
      <c r="Q40" s="557"/>
      <c r="R40" s="557"/>
    </row>
    <row r="41" spans="1:19" ht="83.25" customHeight="1">
      <c r="A41" s="589"/>
      <c r="B41" s="590"/>
      <c r="C41" s="591"/>
      <c r="D41" s="581" t="s">
        <v>30</v>
      </c>
      <c r="E41" s="581"/>
      <c r="F41" s="581" t="s">
        <v>31</v>
      </c>
      <c r="G41" s="581"/>
      <c r="H41" s="581" t="s">
        <v>32</v>
      </c>
      <c r="I41" s="581"/>
      <c r="J41" s="581" t="s">
        <v>30</v>
      </c>
      <c r="K41" s="581"/>
      <c r="L41" s="581" t="s">
        <v>31</v>
      </c>
      <c r="M41" s="581"/>
      <c r="N41" s="558" t="s">
        <v>32</v>
      </c>
      <c r="O41" s="559"/>
      <c r="P41" s="324" t="s">
        <v>30</v>
      </c>
      <c r="Q41" s="324" t="s">
        <v>31</v>
      </c>
      <c r="R41" s="324" t="s">
        <v>32</v>
      </c>
      <c r="S41" s="7"/>
    </row>
    <row r="42" spans="1:18" s="14" customFormat="1" ht="199.5" customHeight="1">
      <c r="A42" s="575" t="s">
        <v>100</v>
      </c>
      <c r="B42" s="575"/>
      <c r="C42" s="574" t="s">
        <v>138</v>
      </c>
      <c r="D42" s="576" t="s">
        <v>103</v>
      </c>
      <c r="E42" s="577"/>
      <c r="F42" s="576" t="s">
        <v>104</v>
      </c>
      <c r="G42" s="577"/>
      <c r="H42" s="578"/>
      <c r="I42" s="579"/>
      <c r="J42" s="580"/>
      <c r="K42" s="580"/>
      <c r="L42" s="578"/>
      <c r="M42" s="579"/>
      <c r="N42" s="580"/>
      <c r="O42" s="580"/>
      <c r="P42" s="325" t="s">
        <v>105</v>
      </c>
      <c r="Q42" s="326" t="s">
        <v>106</v>
      </c>
      <c r="R42" s="327"/>
    </row>
    <row r="43" spans="1:18" s="14" customFormat="1" ht="10.5">
      <c r="A43" s="575"/>
      <c r="B43" s="575"/>
      <c r="C43" s="574"/>
      <c r="D43" s="570"/>
      <c r="E43" s="571"/>
      <c r="F43" s="570"/>
      <c r="G43" s="571"/>
      <c r="H43" s="328"/>
      <c r="I43" s="329"/>
      <c r="J43" s="330"/>
      <c r="K43" s="330"/>
      <c r="L43" s="328"/>
      <c r="M43" s="329"/>
      <c r="N43" s="330"/>
      <c r="O43" s="330"/>
      <c r="P43" s="331"/>
      <c r="Q43" s="332"/>
      <c r="R43" s="333"/>
    </row>
    <row r="44" spans="1:18" s="14" customFormat="1" ht="10.5">
      <c r="A44" s="575"/>
      <c r="B44" s="575"/>
      <c r="C44" s="574"/>
      <c r="D44" s="570"/>
      <c r="E44" s="571"/>
      <c r="F44" s="570"/>
      <c r="G44" s="571"/>
      <c r="H44" s="328"/>
      <c r="I44" s="329"/>
      <c r="J44" s="330"/>
      <c r="K44" s="330"/>
      <c r="L44" s="328"/>
      <c r="M44" s="329"/>
      <c r="N44" s="330"/>
      <c r="O44" s="330"/>
      <c r="P44" s="331"/>
      <c r="Q44" s="332"/>
      <c r="R44" s="333"/>
    </row>
    <row r="45" spans="1:18" s="14" customFormat="1" ht="10.5">
      <c r="A45" s="575"/>
      <c r="B45" s="575"/>
      <c r="C45" s="574"/>
      <c r="D45" s="570"/>
      <c r="E45" s="571"/>
      <c r="F45" s="570"/>
      <c r="G45" s="571"/>
      <c r="H45" s="328"/>
      <c r="I45" s="329"/>
      <c r="J45" s="330"/>
      <c r="K45" s="330"/>
      <c r="L45" s="328"/>
      <c r="M45" s="329"/>
      <c r="N45" s="330"/>
      <c r="O45" s="330"/>
      <c r="P45" s="331"/>
      <c r="Q45" s="332"/>
      <c r="R45" s="333"/>
    </row>
    <row r="46" spans="1:18" s="14" customFormat="1" ht="10.5">
      <c r="A46" s="575"/>
      <c r="B46" s="575"/>
      <c r="C46" s="574"/>
      <c r="D46" s="570"/>
      <c r="E46" s="571"/>
      <c r="F46" s="570"/>
      <c r="G46" s="571"/>
      <c r="H46" s="328"/>
      <c r="I46" s="329"/>
      <c r="J46" s="330"/>
      <c r="K46" s="330"/>
      <c r="L46" s="328"/>
      <c r="M46" s="329"/>
      <c r="N46" s="330"/>
      <c r="O46" s="330"/>
      <c r="P46" s="331"/>
      <c r="Q46" s="332"/>
      <c r="R46" s="333"/>
    </row>
    <row r="47" spans="1:18" s="14" customFormat="1" ht="10.5">
      <c r="A47" s="575"/>
      <c r="B47" s="575"/>
      <c r="C47" s="574"/>
      <c r="D47" s="570"/>
      <c r="E47" s="571"/>
      <c r="F47" s="570"/>
      <c r="G47" s="571"/>
      <c r="H47" s="328"/>
      <c r="I47" s="329"/>
      <c r="J47" s="330"/>
      <c r="K47" s="330"/>
      <c r="L47" s="328"/>
      <c r="M47" s="329"/>
      <c r="N47" s="330"/>
      <c r="O47" s="330"/>
      <c r="P47" s="331"/>
      <c r="Q47" s="332"/>
      <c r="R47" s="333"/>
    </row>
    <row r="48" spans="1:18" s="14" customFormat="1" ht="10.5">
      <c r="A48" s="575"/>
      <c r="B48" s="575"/>
      <c r="C48" s="574"/>
      <c r="D48" s="570"/>
      <c r="E48" s="571"/>
      <c r="F48" s="570"/>
      <c r="G48" s="571"/>
      <c r="H48" s="328"/>
      <c r="I48" s="329"/>
      <c r="J48" s="330"/>
      <c r="K48" s="330"/>
      <c r="L48" s="328"/>
      <c r="M48" s="329"/>
      <c r="N48" s="330"/>
      <c r="O48" s="330"/>
      <c r="P48" s="331"/>
      <c r="Q48" s="332"/>
      <c r="R48" s="333"/>
    </row>
    <row r="49" spans="1:18" s="14" customFormat="1" ht="10.5">
      <c r="A49" s="575"/>
      <c r="B49" s="575"/>
      <c r="C49" s="574"/>
      <c r="D49" s="570"/>
      <c r="E49" s="571"/>
      <c r="F49" s="570"/>
      <c r="G49" s="571"/>
      <c r="H49" s="328"/>
      <c r="I49" s="329"/>
      <c r="J49" s="330"/>
      <c r="K49" s="330"/>
      <c r="L49" s="328"/>
      <c r="M49" s="329"/>
      <c r="N49" s="330"/>
      <c r="O49" s="330"/>
      <c r="P49" s="331"/>
      <c r="Q49" s="332"/>
      <c r="R49" s="333"/>
    </row>
    <row r="50" spans="1:18" s="14" customFormat="1" ht="10.5">
      <c r="A50" s="575"/>
      <c r="B50" s="575"/>
      <c r="C50" s="574"/>
      <c r="D50" s="570"/>
      <c r="E50" s="571"/>
      <c r="F50" s="570"/>
      <c r="G50" s="571"/>
      <c r="H50" s="328"/>
      <c r="I50" s="329"/>
      <c r="J50" s="330"/>
      <c r="K50" s="330"/>
      <c r="L50" s="328"/>
      <c r="M50" s="329"/>
      <c r="N50" s="330"/>
      <c r="O50" s="330"/>
      <c r="P50" s="331"/>
      <c r="Q50" s="332"/>
      <c r="R50" s="333"/>
    </row>
    <row r="51" spans="1:18" s="14" customFormat="1" ht="10.5">
      <c r="A51" s="575"/>
      <c r="B51" s="575"/>
      <c r="C51" s="574"/>
      <c r="D51" s="570"/>
      <c r="E51" s="571"/>
      <c r="F51" s="570"/>
      <c r="G51" s="571"/>
      <c r="H51" s="328"/>
      <c r="I51" s="329"/>
      <c r="J51" s="330"/>
      <c r="K51" s="330"/>
      <c r="L51" s="328"/>
      <c r="M51" s="329"/>
      <c r="N51" s="330"/>
      <c r="O51" s="330"/>
      <c r="P51" s="331"/>
      <c r="Q51" s="332"/>
      <c r="R51" s="333"/>
    </row>
    <row r="52" spans="1:18" s="14" customFormat="1" ht="10.5">
      <c r="A52" s="575"/>
      <c r="B52" s="575"/>
      <c r="C52" s="574"/>
      <c r="D52" s="570"/>
      <c r="E52" s="571"/>
      <c r="F52" s="570"/>
      <c r="G52" s="571"/>
      <c r="H52" s="328"/>
      <c r="I52" s="329"/>
      <c r="J52" s="330"/>
      <c r="K52" s="330"/>
      <c r="L52" s="328"/>
      <c r="M52" s="329"/>
      <c r="N52" s="330"/>
      <c r="O52" s="330"/>
      <c r="P52" s="331"/>
      <c r="Q52" s="332"/>
      <c r="R52" s="333"/>
    </row>
    <row r="53" spans="1:18" s="14" customFormat="1" ht="10.5">
      <c r="A53" s="575"/>
      <c r="B53" s="575"/>
      <c r="C53" s="574"/>
      <c r="D53" s="570"/>
      <c r="E53" s="571"/>
      <c r="F53" s="570"/>
      <c r="G53" s="571"/>
      <c r="H53" s="328"/>
      <c r="I53" s="329"/>
      <c r="J53" s="330"/>
      <c r="K53" s="330"/>
      <c r="L53" s="328"/>
      <c r="M53" s="329"/>
      <c r="N53" s="330"/>
      <c r="O53" s="330"/>
      <c r="P53" s="331"/>
      <c r="Q53" s="332"/>
      <c r="R53" s="333"/>
    </row>
    <row r="54" spans="1:18" s="14" customFormat="1" ht="10.5">
      <c r="A54" s="575"/>
      <c r="B54" s="575"/>
      <c r="C54" s="574"/>
      <c r="D54" s="570"/>
      <c r="E54" s="571"/>
      <c r="F54" s="570"/>
      <c r="G54" s="571"/>
      <c r="H54" s="328"/>
      <c r="I54" s="329"/>
      <c r="J54" s="330"/>
      <c r="K54" s="330"/>
      <c r="L54" s="328"/>
      <c r="M54" s="329"/>
      <c r="N54" s="330"/>
      <c r="O54" s="330"/>
      <c r="P54" s="331"/>
      <c r="Q54" s="332"/>
      <c r="R54" s="333"/>
    </row>
    <row r="55" spans="1:18" s="14" customFormat="1" ht="10.5">
      <c r="A55" s="575"/>
      <c r="B55" s="575"/>
      <c r="C55" s="574"/>
      <c r="D55" s="570"/>
      <c r="E55" s="571"/>
      <c r="F55" s="570"/>
      <c r="G55" s="571"/>
      <c r="H55" s="328"/>
      <c r="I55" s="329"/>
      <c r="J55" s="330"/>
      <c r="K55" s="330"/>
      <c r="L55" s="328"/>
      <c r="M55" s="329"/>
      <c r="N55" s="330"/>
      <c r="O55" s="330"/>
      <c r="P55" s="331"/>
      <c r="Q55" s="332"/>
      <c r="R55" s="333"/>
    </row>
    <row r="56" spans="1:18" s="14" customFormat="1" ht="10.5">
      <c r="A56" s="575"/>
      <c r="B56" s="575"/>
      <c r="C56" s="574"/>
      <c r="D56" s="570"/>
      <c r="E56" s="571"/>
      <c r="F56" s="570"/>
      <c r="G56" s="571"/>
      <c r="H56" s="328"/>
      <c r="I56" s="329"/>
      <c r="J56" s="330"/>
      <c r="K56" s="330"/>
      <c r="L56" s="328"/>
      <c r="M56" s="329"/>
      <c r="N56" s="330"/>
      <c r="O56" s="330"/>
      <c r="P56" s="331"/>
      <c r="Q56" s="332"/>
      <c r="R56" s="333"/>
    </row>
    <row r="57" spans="1:18" s="14" customFormat="1" ht="46.5" customHeight="1">
      <c r="A57" s="575"/>
      <c r="B57" s="575"/>
      <c r="C57" s="574"/>
      <c r="D57" s="570"/>
      <c r="E57" s="571"/>
      <c r="F57" s="570"/>
      <c r="G57" s="571"/>
      <c r="H57" s="328"/>
      <c r="I57" s="330"/>
      <c r="J57" s="328"/>
      <c r="K57" s="329"/>
      <c r="L57" s="330"/>
      <c r="M57" s="329"/>
      <c r="N57" s="330"/>
      <c r="O57" s="329"/>
      <c r="P57" s="334"/>
      <c r="Q57" s="332"/>
      <c r="R57" s="333"/>
    </row>
    <row r="58" spans="1:18" s="14" customFormat="1" ht="16.5" customHeight="1">
      <c r="A58" s="575"/>
      <c r="B58" s="575"/>
      <c r="C58" s="574"/>
      <c r="D58" s="570"/>
      <c r="E58" s="571"/>
      <c r="F58" s="570"/>
      <c r="G58" s="571"/>
      <c r="H58" s="328"/>
      <c r="I58" s="330"/>
      <c r="J58" s="328"/>
      <c r="K58" s="329"/>
      <c r="L58" s="330"/>
      <c r="M58" s="330"/>
      <c r="N58" s="328"/>
      <c r="O58" s="329"/>
      <c r="P58" s="332"/>
      <c r="Q58" s="331"/>
      <c r="R58" s="335"/>
    </row>
    <row r="59" spans="1:18" s="14" customFormat="1" ht="33.75" customHeight="1" hidden="1">
      <c r="A59" s="575"/>
      <c r="B59" s="575"/>
      <c r="C59" s="574"/>
      <c r="D59" s="570"/>
      <c r="E59" s="571"/>
      <c r="F59" s="570"/>
      <c r="G59" s="571"/>
      <c r="H59" s="328"/>
      <c r="I59" s="330"/>
      <c r="J59" s="328"/>
      <c r="K59" s="329"/>
      <c r="L59" s="330"/>
      <c r="M59" s="330"/>
      <c r="N59" s="328"/>
      <c r="O59" s="329"/>
      <c r="P59" s="332"/>
      <c r="Q59" s="331"/>
      <c r="R59" s="335"/>
    </row>
    <row r="60" spans="1:18" s="14" customFormat="1" ht="6" customHeight="1" hidden="1">
      <c r="A60" s="575"/>
      <c r="B60" s="575"/>
      <c r="C60" s="574"/>
      <c r="D60" s="570"/>
      <c r="E60" s="571"/>
      <c r="F60" s="570"/>
      <c r="G60" s="571"/>
      <c r="H60" s="328"/>
      <c r="I60" s="330"/>
      <c r="J60" s="328"/>
      <c r="K60" s="329"/>
      <c r="L60" s="330"/>
      <c r="M60" s="330"/>
      <c r="N60" s="328"/>
      <c r="O60" s="329"/>
      <c r="P60" s="332"/>
      <c r="Q60" s="331"/>
      <c r="R60" s="335"/>
    </row>
    <row r="61" spans="1:18" s="14" customFormat="1" ht="18.75" customHeight="1" hidden="1">
      <c r="A61" s="575"/>
      <c r="B61" s="575"/>
      <c r="C61" s="574"/>
      <c r="D61" s="570"/>
      <c r="E61" s="571"/>
      <c r="F61" s="570"/>
      <c r="G61" s="571"/>
      <c r="H61" s="328"/>
      <c r="I61" s="330"/>
      <c r="J61" s="328"/>
      <c r="K61" s="329"/>
      <c r="L61" s="330"/>
      <c r="M61" s="330"/>
      <c r="N61" s="328"/>
      <c r="O61" s="329"/>
      <c r="P61" s="332"/>
      <c r="Q61" s="331"/>
      <c r="R61" s="335"/>
    </row>
    <row r="62" spans="1:18" s="14" customFormat="1" ht="17.25" customHeight="1">
      <c r="A62" s="575"/>
      <c r="B62" s="575"/>
      <c r="C62" s="574"/>
      <c r="D62" s="570"/>
      <c r="E62" s="571"/>
      <c r="F62" s="570"/>
      <c r="G62" s="571"/>
      <c r="H62" s="328"/>
      <c r="I62" s="330"/>
      <c r="J62" s="328"/>
      <c r="K62" s="329"/>
      <c r="L62" s="330"/>
      <c r="M62" s="330"/>
      <c r="N62" s="328"/>
      <c r="O62" s="329"/>
      <c r="P62" s="332"/>
      <c r="Q62" s="331"/>
      <c r="R62" s="335"/>
    </row>
    <row r="63" spans="1:18" s="14" customFormat="1" ht="1.5" customHeight="1">
      <c r="A63" s="575"/>
      <c r="B63" s="575"/>
      <c r="C63" s="574"/>
      <c r="D63" s="336"/>
      <c r="E63" s="337"/>
      <c r="F63" s="338"/>
      <c r="G63" s="339"/>
      <c r="H63" s="340"/>
      <c r="I63" s="341"/>
      <c r="J63" s="340"/>
      <c r="K63" s="342"/>
      <c r="L63" s="341"/>
      <c r="M63" s="341"/>
      <c r="N63" s="341"/>
      <c r="O63" s="342"/>
      <c r="P63" s="343"/>
      <c r="Q63" s="343"/>
      <c r="R63" s="344"/>
    </row>
    <row r="64" spans="1:18" ht="15">
      <c r="A64" s="323"/>
      <c r="B64" s="323"/>
      <c r="C64" s="323"/>
      <c r="D64" s="323"/>
      <c r="E64" s="323"/>
      <c r="F64" s="323"/>
      <c r="G64" s="323"/>
      <c r="H64" s="323"/>
      <c r="I64" s="345"/>
      <c r="J64" s="345"/>
      <c r="K64" s="345"/>
      <c r="L64" s="323"/>
      <c r="M64" s="323"/>
      <c r="N64" s="323"/>
      <c r="O64" s="323"/>
      <c r="P64" s="323"/>
      <c r="Q64" s="323"/>
      <c r="R64" s="323"/>
    </row>
    <row r="65" spans="1:18" ht="15">
      <c r="A65" s="323"/>
      <c r="B65" s="323" t="s">
        <v>33</v>
      </c>
      <c r="C65" s="323"/>
      <c r="D65" s="323"/>
      <c r="E65" s="323"/>
      <c r="F65" s="323"/>
      <c r="G65" s="323"/>
      <c r="H65" s="323"/>
      <c r="I65" s="323"/>
      <c r="J65" s="323"/>
      <c r="K65" s="323"/>
      <c r="L65" s="323"/>
      <c r="M65" s="323"/>
      <c r="N65" s="323"/>
      <c r="O65" s="323"/>
      <c r="P65" s="323"/>
      <c r="Q65" s="323"/>
      <c r="R65" s="323"/>
    </row>
    <row r="66" spans="1:18" ht="15">
      <c r="A66" s="323"/>
      <c r="B66" s="323"/>
      <c r="C66" s="323"/>
      <c r="D66" s="323"/>
      <c r="E66" s="323"/>
      <c r="F66" s="323"/>
      <c r="G66" s="323"/>
      <c r="H66" s="323"/>
      <c r="I66" s="323"/>
      <c r="J66" s="323"/>
      <c r="K66" s="323"/>
      <c r="L66" s="323"/>
      <c r="M66" s="323"/>
      <c r="N66" s="323"/>
      <c r="O66" s="323"/>
      <c r="P66" s="323"/>
      <c r="Q66" s="323"/>
      <c r="R66" s="323"/>
    </row>
    <row r="67" spans="1:18" ht="28.5" customHeight="1">
      <c r="A67" s="557" t="s">
        <v>35</v>
      </c>
      <c r="B67" s="557"/>
      <c r="C67" s="557"/>
      <c r="D67" s="495" t="s">
        <v>63</v>
      </c>
      <c r="E67" s="496"/>
      <c r="F67" s="496"/>
      <c r="G67" s="496"/>
      <c r="H67" s="496"/>
      <c r="I67" s="496"/>
      <c r="J67" s="496"/>
      <c r="K67" s="496"/>
      <c r="L67" s="496"/>
      <c r="M67" s="496"/>
      <c r="N67" s="496"/>
      <c r="O67" s="497"/>
      <c r="P67" s="558" t="s">
        <v>34</v>
      </c>
      <c r="Q67" s="559"/>
      <c r="R67" s="323"/>
    </row>
    <row r="68" spans="1:18" ht="15">
      <c r="A68" s="557"/>
      <c r="B68" s="557"/>
      <c r="C68" s="557"/>
      <c r="D68" s="346">
        <v>1</v>
      </c>
      <c r="E68" s="346">
        <v>2</v>
      </c>
      <c r="F68" s="346">
        <v>3</v>
      </c>
      <c r="G68" s="346">
        <v>4</v>
      </c>
      <c r="H68" s="346">
        <v>5</v>
      </c>
      <c r="I68" s="346">
        <v>6</v>
      </c>
      <c r="J68" s="346">
        <v>7</v>
      </c>
      <c r="K68" s="346">
        <v>8</v>
      </c>
      <c r="L68" s="346">
        <v>9</v>
      </c>
      <c r="M68" s="346">
        <v>10</v>
      </c>
      <c r="N68" s="346">
        <v>11</v>
      </c>
      <c r="O68" s="346">
        <v>12</v>
      </c>
      <c r="P68" s="560"/>
      <c r="Q68" s="561"/>
      <c r="R68" s="323"/>
    </row>
    <row r="69" spans="1:18" ht="118.5" customHeight="1">
      <c r="A69" s="555" t="s">
        <v>110</v>
      </c>
      <c r="B69" s="555"/>
      <c r="C69" s="556"/>
      <c r="D69" s="318">
        <v>301</v>
      </c>
      <c r="E69" s="318">
        <v>301</v>
      </c>
      <c r="F69" s="318">
        <v>301</v>
      </c>
      <c r="G69" s="318">
        <v>301</v>
      </c>
      <c r="H69" s="318">
        <v>301</v>
      </c>
      <c r="I69" s="318">
        <v>301</v>
      </c>
      <c r="J69" s="318">
        <v>301</v>
      </c>
      <c r="K69" s="318">
        <f>K70</f>
        <v>301</v>
      </c>
      <c r="L69" s="318">
        <f>L70</f>
        <v>329</v>
      </c>
      <c r="M69" s="318">
        <f>M70</f>
        <v>329</v>
      </c>
      <c r="N69" s="318">
        <f>N70</f>
        <v>329</v>
      </c>
      <c r="O69" s="318">
        <f>O70</f>
        <v>329</v>
      </c>
      <c r="P69" s="572">
        <f>ROUND((D69*8+L69*4)/12,0)</f>
        <v>310</v>
      </c>
      <c r="Q69" s="573"/>
      <c r="R69" s="323"/>
    </row>
    <row r="70" spans="1:18" ht="50.25" customHeight="1">
      <c r="A70" s="554" t="s">
        <v>143</v>
      </c>
      <c r="B70" s="555"/>
      <c r="C70" s="556"/>
      <c r="D70" s="347">
        <v>301</v>
      </c>
      <c r="E70" s="347">
        <v>301</v>
      </c>
      <c r="F70" s="347">
        <f aca="true" t="shared" si="0" ref="E70:O72">E70</f>
        <v>301</v>
      </c>
      <c r="G70" s="347">
        <f t="shared" si="0"/>
        <v>301</v>
      </c>
      <c r="H70" s="347">
        <f t="shared" si="0"/>
        <v>301</v>
      </c>
      <c r="I70" s="347">
        <f t="shared" si="0"/>
        <v>301</v>
      </c>
      <c r="J70" s="347">
        <f t="shared" si="0"/>
        <v>301</v>
      </c>
      <c r="K70" s="347">
        <v>301</v>
      </c>
      <c r="L70" s="347">
        <v>329</v>
      </c>
      <c r="M70" s="347">
        <f t="shared" si="0"/>
        <v>329</v>
      </c>
      <c r="N70" s="347">
        <f t="shared" si="0"/>
        <v>329</v>
      </c>
      <c r="O70" s="347">
        <f t="shared" si="0"/>
        <v>329</v>
      </c>
      <c r="P70" s="572">
        <f>P69</f>
        <v>310</v>
      </c>
      <c r="Q70" s="573"/>
      <c r="R70" s="323"/>
    </row>
    <row r="71" spans="1:18" ht="34.5" customHeight="1">
      <c r="A71" s="554" t="s">
        <v>144</v>
      </c>
      <c r="B71" s="555"/>
      <c r="C71" s="556"/>
      <c r="D71" s="347">
        <f>D70</f>
        <v>301</v>
      </c>
      <c r="E71" s="347">
        <f t="shared" si="0"/>
        <v>301</v>
      </c>
      <c r="F71" s="347">
        <f t="shared" si="0"/>
        <v>301</v>
      </c>
      <c r="G71" s="347">
        <f t="shared" si="0"/>
        <v>301</v>
      </c>
      <c r="H71" s="347">
        <f t="shared" si="0"/>
        <v>301</v>
      </c>
      <c r="I71" s="347">
        <f t="shared" si="0"/>
        <v>301</v>
      </c>
      <c r="J71" s="347">
        <f t="shared" si="0"/>
        <v>301</v>
      </c>
      <c r="K71" s="347">
        <f t="shared" si="0"/>
        <v>301</v>
      </c>
      <c r="L71" s="347">
        <v>329</v>
      </c>
      <c r="M71" s="347">
        <f t="shared" si="0"/>
        <v>329</v>
      </c>
      <c r="N71" s="347">
        <f t="shared" si="0"/>
        <v>329</v>
      </c>
      <c r="O71" s="347">
        <f t="shared" si="0"/>
        <v>329</v>
      </c>
      <c r="P71" s="572">
        <f>P70</f>
        <v>310</v>
      </c>
      <c r="Q71" s="573"/>
      <c r="R71" s="323"/>
    </row>
    <row r="72" spans="1:18" ht="42" customHeight="1">
      <c r="A72" s="554" t="s">
        <v>145</v>
      </c>
      <c r="B72" s="555"/>
      <c r="C72" s="556"/>
      <c r="D72" s="347">
        <f>D71</f>
        <v>301</v>
      </c>
      <c r="E72" s="347">
        <f t="shared" si="0"/>
        <v>301</v>
      </c>
      <c r="F72" s="347">
        <f t="shared" si="0"/>
        <v>301</v>
      </c>
      <c r="G72" s="347">
        <f t="shared" si="0"/>
        <v>301</v>
      </c>
      <c r="H72" s="347">
        <f t="shared" si="0"/>
        <v>301</v>
      </c>
      <c r="I72" s="347">
        <f t="shared" si="0"/>
        <v>301</v>
      </c>
      <c r="J72" s="347">
        <f t="shared" si="0"/>
        <v>301</v>
      </c>
      <c r="K72" s="347">
        <f t="shared" si="0"/>
        <v>301</v>
      </c>
      <c r="L72" s="347">
        <f>L71</f>
        <v>329</v>
      </c>
      <c r="M72" s="347">
        <f t="shared" si="0"/>
        <v>329</v>
      </c>
      <c r="N72" s="347">
        <f t="shared" si="0"/>
        <v>329</v>
      </c>
      <c r="O72" s="347">
        <f t="shared" si="0"/>
        <v>329</v>
      </c>
      <c r="P72" s="572">
        <f>P71</f>
        <v>310</v>
      </c>
      <c r="Q72" s="573"/>
      <c r="R72" s="323"/>
    </row>
    <row r="73" spans="1:18" ht="15" hidden="1">
      <c r="A73" s="323"/>
      <c r="B73" s="323"/>
      <c r="C73" s="323"/>
      <c r="D73" s="323"/>
      <c r="E73" s="323"/>
      <c r="F73" s="323"/>
      <c r="G73" s="323"/>
      <c r="H73" s="323"/>
      <c r="I73" s="323"/>
      <c r="J73" s="323"/>
      <c r="K73" s="323"/>
      <c r="L73" s="323"/>
      <c r="M73" s="323"/>
      <c r="N73" s="323"/>
      <c r="O73" s="323"/>
      <c r="P73" s="323"/>
      <c r="Q73" s="323"/>
      <c r="R73" s="323"/>
    </row>
    <row r="74" spans="1:18" ht="15.75" thickBot="1">
      <c r="A74" s="323"/>
      <c r="B74" s="323"/>
      <c r="C74" s="323"/>
      <c r="D74" s="323"/>
      <c r="E74" s="323"/>
      <c r="F74" s="323"/>
      <c r="G74" s="323"/>
      <c r="H74" s="323"/>
      <c r="I74" s="323"/>
      <c r="J74" s="323"/>
      <c r="K74" s="323"/>
      <c r="L74" s="323"/>
      <c r="M74" s="323"/>
      <c r="N74" s="323"/>
      <c r="O74" s="323"/>
      <c r="P74" s="323"/>
      <c r="Q74" s="323"/>
      <c r="R74" s="323"/>
    </row>
    <row r="75" spans="1:18" ht="15">
      <c r="A75" s="348" t="s">
        <v>64</v>
      </c>
      <c r="B75" s="349" t="s">
        <v>151</v>
      </c>
      <c r="C75" s="323"/>
      <c r="D75" s="323"/>
      <c r="E75" s="323"/>
      <c r="F75" s="323"/>
      <c r="G75" s="323"/>
      <c r="H75" s="323"/>
      <c r="I75" s="323"/>
      <c r="J75" s="323"/>
      <c r="K75" s="323"/>
      <c r="L75" s="323"/>
      <c r="M75" s="323"/>
      <c r="N75" s="323"/>
      <c r="O75" s="323"/>
      <c r="P75" s="323"/>
      <c r="Q75" s="323"/>
      <c r="R75" s="323"/>
    </row>
    <row r="76" spans="1:18" ht="15">
      <c r="A76" s="445"/>
      <c r="B76" s="345"/>
      <c r="C76" s="323"/>
      <c r="D76" s="323"/>
      <c r="E76" s="323"/>
      <c r="F76" s="323"/>
      <c r="G76" s="323"/>
      <c r="H76" s="323"/>
      <c r="I76" s="323"/>
      <c r="J76" s="323"/>
      <c r="K76" s="323"/>
      <c r="L76" s="323"/>
      <c r="M76" s="323"/>
      <c r="N76" s="323"/>
      <c r="O76" s="323"/>
      <c r="P76" s="323"/>
      <c r="Q76" s="323"/>
      <c r="R76" s="323"/>
    </row>
    <row r="77" spans="1:18" ht="15">
      <c r="A77" s="445"/>
      <c r="B77" s="345"/>
      <c r="C77" s="323"/>
      <c r="D77" s="323"/>
      <c r="E77" s="323"/>
      <c r="F77" s="323"/>
      <c r="G77" s="323"/>
      <c r="H77" s="323"/>
      <c r="I77" s="323"/>
      <c r="J77" s="323"/>
      <c r="K77" s="323"/>
      <c r="L77" s="323"/>
      <c r="M77" s="323"/>
      <c r="N77" s="323"/>
      <c r="O77" s="323"/>
      <c r="P77" s="323"/>
      <c r="Q77" s="323"/>
      <c r="R77" s="323"/>
    </row>
    <row r="78" spans="1:18" ht="26.25" customHeight="1">
      <c r="A78" s="323"/>
      <c r="B78" s="323"/>
      <c r="C78" s="323"/>
      <c r="D78" s="323"/>
      <c r="E78" s="323"/>
      <c r="F78" s="323"/>
      <c r="G78" s="323"/>
      <c r="H78" s="323"/>
      <c r="I78" s="323"/>
      <c r="J78" s="323"/>
      <c r="K78" s="323"/>
      <c r="L78" s="323"/>
      <c r="M78" s="323"/>
      <c r="N78" s="323"/>
      <c r="O78" s="323"/>
      <c r="P78" s="323"/>
      <c r="Q78" s="323"/>
      <c r="R78" s="323"/>
    </row>
    <row r="79" spans="1:18" ht="15" hidden="1">
      <c r="A79" s="323"/>
      <c r="B79" s="323"/>
      <c r="C79" s="323"/>
      <c r="D79" s="323"/>
      <c r="E79" s="323"/>
      <c r="F79" s="323"/>
      <c r="G79" s="323"/>
      <c r="H79" s="323"/>
      <c r="I79" s="323"/>
      <c r="J79" s="323"/>
      <c r="K79" s="323"/>
      <c r="L79" s="323"/>
      <c r="M79" s="323"/>
      <c r="N79" s="323"/>
      <c r="O79" s="323"/>
      <c r="P79" s="323"/>
      <c r="Q79" s="323"/>
      <c r="R79" s="323"/>
    </row>
    <row r="80" spans="1:18" ht="27.75" customHeight="1">
      <c r="A80" s="454" t="s">
        <v>40</v>
      </c>
      <c r="B80" s="454"/>
      <c r="C80" s="454"/>
      <c r="D80" s="454"/>
      <c r="E80" s="454"/>
      <c r="F80" s="454"/>
      <c r="G80" s="454"/>
      <c r="H80" s="454"/>
      <c r="I80" s="454"/>
      <c r="J80" s="454"/>
      <c r="K80" s="454"/>
      <c r="L80" s="454"/>
      <c r="M80" s="454"/>
      <c r="N80" s="454"/>
      <c r="O80" s="454"/>
      <c r="P80" s="454"/>
      <c r="Q80" s="454"/>
      <c r="R80" s="454"/>
    </row>
    <row r="81" spans="1:18" ht="15">
      <c r="A81" s="323"/>
      <c r="B81" s="323"/>
      <c r="C81" s="323"/>
      <c r="D81" s="323"/>
      <c r="E81" s="323"/>
      <c r="F81" s="323"/>
      <c r="G81" s="323"/>
      <c r="H81" s="323"/>
      <c r="I81" s="323"/>
      <c r="J81" s="323"/>
      <c r="K81" s="323"/>
      <c r="L81" s="323"/>
      <c r="M81" s="323"/>
      <c r="N81" s="323"/>
      <c r="O81" s="323"/>
      <c r="P81" s="323"/>
      <c r="Q81" s="323"/>
      <c r="R81" s="323"/>
    </row>
    <row r="82" spans="1:18" ht="15">
      <c r="A82" s="323"/>
      <c r="B82" s="323"/>
      <c r="C82" s="323"/>
      <c r="D82" s="323"/>
      <c r="E82" s="323"/>
      <c r="F82" s="323"/>
      <c r="G82" s="323"/>
      <c r="H82" s="323"/>
      <c r="I82" s="323"/>
      <c r="J82" s="323"/>
      <c r="K82" s="323"/>
      <c r="L82" s="323"/>
      <c r="M82" s="323"/>
      <c r="N82" s="323"/>
      <c r="O82" s="323"/>
      <c r="P82" s="323"/>
      <c r="Q82" s="323"/>
      <c r="R82" s="323"/>
    </row>
    <row r="83" spans="1:18" ht="26.25" customHeight="1">
      <c r="A83" s="323"/>
      <c r="B83" s="323" t="s">
        <v>37</v>
      </c>
      <c r="C83" s="323"/>
      <c r="D83" s="323"/>
      <c r="E83" s="323"/>
      <c r="F83" s="323"/>
      <c r="G83" s="323"/>
      <c r="H83" s="323"/>
      <c r="I83" s="323"/>
      <c r="J83" s="323"/>
      <c r="K83" s="323"/>
      <c r="L83" s="323"/>
      <c r="M83" s="323"/>
      <c r="N83" s="323"/>
      <c r="O83" s="323"/>
      <c r="P83" s="323"/>
      <c r="Q83" s="323"/>
      <c r="R83" s="323"/>
    </row>
    <row r="84" spans="1:18" ht="15">
      <c r="A84" s="323"/>
      <c r="B84" s="323"/>
      <c r="C84" s="323"/>
      <c r="D84" s="323"/>
      <c r="E84" s="323"/>
      <c r="F84" s="323"/>
      <c r="G84" s="323"/>
      <c r="H84" s="323"/>
      <c r="I84" s="323"/>
      <c r="J84" s="323"/>
      <c r="K84" s="323"/>
      <c r="L84" s="323"/>
      <c r="M84" s="323"/>
      <c r="N84" s="323"/>
      <c r="O84" s="323"/>
      <c r="P84" s="323"/>
      <c r="Q84" s="323"/>
      <c r="R84" s="323"/>
    </row>
    <row r="85" spans="1:18" ht="15">
      <c r="A85" s="323"/>
      <c r="B85" s="323"/>
      <c r="C85" s="323"/>
      <c r="D85" s="323"/>
      <c r="E85" s="323"/>
      <c r="F85" s="323"/>
      <c r="G85" s="323"/>
      <c r="H85" s="323"/>
      <c r="I85" s="323"/>
      <c r="J85" s="323"/>
      <c r="K85" s="323"/>
      <c r="L85" s="323"/>
      <c r="M85" s="323"/>
      <c r="N85" s="323"/>
      <c r="O85" s="323"/>
      <c r="P85" s="323"/>
      <c r="Q85" s="323"/>
      <c r="R85" s="323"/>
    </row>
    <row r="86" spans="1:18" ht="15">
      <c r="A86" s="323"/>
      <c r="B86" s="323"/>
      <c r="C86" s="323"/>
      <c r="D86" s="323"/>
      <c r="E86" s="323"/>
      <c r="F86" s="323"/>
      <c r="G86" s="323"/>
      <c r="H86" s="323"/>
      <c r="I86" s="323"/>
      <c r="J86" s="323"/>
      <c r="K86" s="323"/>
      <c r="L86" s="323"/>
      <c r="M86" s="323"/>
      <c r="N86" s="323"/>
      <c r="O86" s="323"/>
      <c r="P86" s="323"/>
      <c r="Q86" s="323"/>
      <c r="R86" s="323"/>
    </row>
    <row r="87" spans="1:18" ht="15">
      <c r="A87" s="323"/>
      <c r="B87" s="323"/>
      <c r="C87" s="323"/>
      <c r="D87" s="323"/>
      <c r="E87" s="323"/>
      <c r="F87" s="323"/>
      <c r="G87" s="323"/>
      <c r="H87" s="323"/>
      <c r="I87" s="323"/>
      <c r="J87" s="323"/>
      <c r="K87" s="323"/>
      <c r="L87" s="323"/>
      <c r="M87" s="323"/>
      <c r="N87" s="323"/>
      <c r="O87" s="323"/>
      <c r="P87" s="323"/>
      <c r="Q87" s="323"/>
      <c r="R87" s="323"/>
    </row>
    <row r="88" spans="1:18" ht="23.25" customHeight="1">
      <c r="A88" s="323"/>
      <c r="B88" s="323" t="s">
        <v>86</v>
      </c>
      <c r="C88" s="323"/>
      <c r="D88" s="323"/>
      <c r="E88" s="323"/>
      <c r="F88" s="323"/>
      <c r="G88" s="323"/>
      <c r="H88" s="323"/>
      <c r="I88" s="323"/>
      <c r="J88" s="323"/>
      <c r="K88" s="323"/>
      <c r="L88" s="323"/>
      <c r="M88" s="323"/>
      <c r="N88" s="323"/>
      <c r="O88" s="323"/>
      <c r="P88" s="323"/>
      <c r="Q88" s="323"/>
      <c r="R88" s="323"/>
    </row>
    <row r="89" spans="1:18" ht="15">
      <c r="A89" s="323"/>
      <c r="B89" s="323"/>
      <c r="C89" s="323"/>
      <c r="D89" s="323"/>
      <c r="E89" s="323"/>
      <c r="F89" s="323"/>
      <c r="G89" s="323"/>
      <c r="H89" s="323"/>
      <c r="I89" s="323"/>
      <c r="J89" s="323"/>
      <c r="K89" s="323"/>
      <c r="L89" s="323"/>
      <c r="M89" s="323"/>
      <c r="N89" s="323"/>
      <c r="O89" s="323"/>
      <c r="P89" s="323"/>
      <c r="Q89" s="323"/>
      <c r="R89" s="323"/>
    </row>
    <row r="90" spans="1:18" ht="15" customHeight="1">
      <c r="A90" s="557" t="s">
        <v>38</v>
      </c>
      <c r="B90" s="557"/>
      <c r="C90" s="557"/>
      <c r="D90" s="495" t="s">
        <v>63</v>
      </c>
      <c r="E90" s="496"/>
      <c r="F90" s="496"/>
      <c r="G90" s="496"/>
      <c r="H90" s="496"/>
      <c r="I90" s="496"/>
      <c r="J90" s="496"/>
      <c r="K90" s="496"/>
      <c r="L90" s="496"/>
      <c r="M90" s="496"/>
      <c r="N90" s="496"/>
      <c r="O90" s="497"/>
      <c r="P90" s="558" t="s">
        <v>39</v>
      </c>
      <c r="Q90" s="559"/>
      <c r="R90" s="323"/>
    </row>
    <row r="91" spans="1:18" ht="15">
      <c r="A91" s="557"/>
      <c r="B91" s="557"/>
      <c r="C91" s="557"/>
      <c r="D91" s="346">
        <v>1</v>
      </c>
      <c r="E91" s="346">
        <v>2</v>
      </c>
      <c r="F91" s="346">
        <v>3</v>
      </c>
      <c r="G91" s="346">
        <v>4</v>
      </c>
      <c r="H91" s="346">
        <v>5</v>
      </c>
      <c r="I91" s="346">
        <v>6</v>
      </c>
      <c r="J91" s="346">
        <v>7</v>
      </c>
      <c r="K91" s="346">
        <v>8</v>
      </c>
      <c r="L91" s="346">
        <v>9</v>
      </c>
      <c r="M91" s="346">
        <v>10</v>
      </c>
      <c r="N91" s="346">
        <v>11</v>
      </c>
      <c r="O91" s="346">
        <v>12</v>
      </c>
      <c r="P91" s="560"/>
      <c r="Q91" s="561"/>
      <c r="R91" s="323"/>
    </row>
    <row r="92" spans="1:18" ht="91.5" customHeight="1">
      <c r="A92" s="555" t="s">
        <v>111</v>
      </c>
      <c r="B92" s="555"/>
      <c r="C92" s="556"/>
      <c r="D92" s="319">
        <f aca="true" t="shared" si="1" ref="D92:P92">D117+D127</f>
        <v>668514</v>
      </c>
      <c r="E92" s="319">
        <f t="shared" si="1"/>
        <v>1160313</v>
      </c>
      <c r="F92" s="319">
        <f t="shared" si="1"/>
        <v>1111988.79</v>
      </c>
      <c r="G92" s="319">
        <f t="shared" si="1"/>
        <v>1951630.1</v>
      </c>
      <c r="H92" s="319">
        <f t="shared" si="1"/>
        <v>1187469.0899999999</v>
      </c>
      <c r="I92" s="319">
        <f t="shared" si="1"/>
        <v>1490346.85</v>
      </c>
      <c r="J92" s="319">
        <f t="shared" si="1"/>
        <v>803169</v>
      </c>
      <c r="K92" s="319">
        <f t="shared" si="1"/>
        <v>500397</v>
      </c>
      <c r="L92" s="319">
        <f t="shared" si="1"/>
        <v>687316</v>
      </c>
      <c r="M92" s="319">
        <f t="shared" si="1"/>
        <v>1783400</v>
      </c>
      <c r="N92" s="319">
        <f t="shared" si="1"/>
        <v>744824</v>
      </c>
      <c r="O92" s="319">
        <f t="shared" si="1"/>
        <v>1890432.17</v>
      </c>
      <c r="P92" s="568">
        <f t="shared" si="1"/>
        <v>13979800</v>
      </c>
      <c r="Q92" s="569"/>
      <c r="R92" s="352"/>
    </row>
    <row r="93" spans="1:18" ht="15" hidden="1">
      <c r="A93" s="323"/>
      <c r="B93" s="323"/>
      <c r="C93" s="323"/>
      <c r="D93" s="323"/>
      <c r="E93" s="323"/>
      <c r="F93" s="323"/>
      <c r="G93" s="323"/>
      <c r="H93" s="323"/>
      <c r="I93" s="323"/>
      <c r="J93" s="323"/>
      <c r="K93" s="323"/>
      <c r="L93" s="323"/>
      <c r="M93" s="323"/>
      <c r="N93" s="323"/>
      <c r="O93" s="323"/>
      <c r="P93" s="323"/>
      <c r="Q93" s="323"/>
      <c r="R93" s="323"/>
    </row>
    <row r="94" spans="1:18" ht="15.75" thickBot="1">
      <c r="A94" s="323"/>
      <c r="B94" s="323"/>
      <c r="C94" s="323"/>
      <c r="D94" s="323"/>
      <c r="E94" s="323"/>
      <c r="F94" s="323"/>
      <c r="G94" s="323"/>
      <c r="H94" s="323"/>
      <c r="I94" s="323"/>
      <c r="J94" s="323"/>
      <c r="K94" s="323"/>
      <c r="L94" s="323"/>
      <c r="M94" s="323"/>
      <c r="N94" s="323"/>
      <c r="O94" s="323"/>
      <c r="P94" s="323"/>
      <c r="Q94" s="323"/>
      <c r="R94" s="323"/>
    </row>
    <row r="95" spans="1:18" ht="15">
      <c r="A95" s="348" t="s">
        <v>64</v>
      </c>
      <c r="B95" s="349" t="s">
        <v>151</v>
      </c>
      <c r="C95" s="323"/>
      <c r="D95" s="323"/>
      <c r="E95" s="323"/>
      <c r="F95" s="323"/>
      <c r="G95" s="323"/>
      <c r="H95" s="323"/>
      <c r="I95" s="323"/>
      <c r="J95" s="323"/>
      <c r="K95" s="323"/>
      <c r="L95" s="323"/>
      <c r="M95" s="323" t="s">
        <v>92</v>
      </c>
      <c r="N95" s="323"/>
      <c r="O95" s="323"/>
      <c r="P95" s="323"/>
      <c r="Q95" s="323"/>
      <c r="R95" s="323"/>
    </row>
    <row r="96" spans="1:18" ht="15">
      <c r="A96" s="323"/>
      <c r="B96" s="323"/>
      <c r="C96" s="323"/>
      <c r="D96" s="323"/>
      <c r="E96" s="323"/>
      <c r="F96" s="323"/>
      <c r="G96" s="323"/>
      <c r="H96" s="323"/>
      <c r="I96" s="323"/>
      <c r="J96" s="323"/>
      <c r="K96" s="323"/>
      <c r="L96" s="323"/>
      <c r="M96" s="323"/>
      <c r="N96" s="323"/>
      <c r="O96" s="323"/>
      <c r="P96" s="323"/>
      <c r="Q96" s="323"/>
      <c r="R96" s="323"/>
    </row>
    <row r="97" spans="1:18" ht="29.25" customHeight="1">
      <c r="A97" s="454" t="s">
        <v>40</v>
      </c>
      <c r="B97" s="454"/>
      <c r="C97" s="454"/>
      <c r="D97" s="454"/>
      <c r="E97" s="454"/>
      <c r="F97" s="454"/>
      <c r="G97" s="454"/>
      <c r="H97" s="454"/>
      <c r="I97" s="454"/>
      <c r="J97" s="454"/>
      <c r="K97" s="454"/>
      <c r="L97" s="454"/>
      <c r="M97" s="454"/>
      <c r="N97" s="454"/>
      <c r="O97" s="454"/>
      <c r="P97" s="454"/>
      <c r="Q97" s="454"/>
      <c r="R97" s="454"/>
    </row>
    <row r="98" spans="1:18" ht="15">
      <c r="A98" s="323"/>
      <c r="B98" s="323"/>
      <c r="C98" s="323"/>
      <c r="D98" s="323"/>
      <c r="E98" s="323"/>
      <c r="F98" s="323"/>
      <c r="G98" s="323"/>
      <c r="H98" s="323"/>
      <c r="I98" s="323"/>
      <c r="J98" s="323"/>
      <c r="K98" s="323"/>
      <c r="L98" s="323"/>
      <c r="M98" s="323"/>
      <c r="N98" s="323"/>
      <c r="O98" s="323"/>
      <c r="P98" s="323"/>
      <c r="Q98" s="323"/>
      <c r="R98" s="323"/>
    </row>
    <row r="99" spans="1:18" ht="15">
      <c r="A99" s="323"/>
      <c r="B99" s="323"/>
      <c r="C99" s="323"/>
      <c r="D99" s="323"/>
      <c r="E99" s="323"/>
      <c r="F99" s="323"/>
      <c r="G99" s="323"/>
      <c r="H99" s="323"/>
      <c r="I99" s="323"/>
      <c r="J99" s="323"/>
      <c r="K99" s="323"/>
      <c r="L99" s="323"/>
      <c r="M99" s="323"/>
      <c r="N99" s="323"/>
      <c r="O99" s="323"/>
      <c r="P99" s="323"/>
      <c r="Q99" s="323"/>
      <c r="R99" s="323"/>
    </row>
    <row r="100" spans="1:18" ht="15">
      <c r="A100" s="323"/>
      <c r="B100" s="323"/>
      <c r="C100" s="323"/>
      <c r="D100" s="323"/>
      <c r="E100" s="323"/>
      <c r="F100" s="323"/>
      <c r="G100" s="323"/>
      <c r="H100" s="323"/>
      <c r="I100" s="323"/>
      <c r="J100" s="323"/>
      <c r="K100" s="323"/>
      <c r="L100" s="323"/>
      <c r="M100" s="323"/>
      <c r="N100" s="323"/>
      <c r="O100" s="323"/>
      <c r="P100" s="323"/>
      <c r="Q100" s="323"/>
      <c r="R100" s="323"/>
    </row>
    <row r="101" spans="1:18" ht="15">
      <c r="A101" s="323"/>
      <c r="B101" s="323" t="s">
        <v>41</v>
      </c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</row>
    <row r="102" spans="1:18" ht="15">
      <c r="A102" s="323"/>
      <c r="B102" s="323"/>
      <c r="C102" s="323"/>
      <c r="D102" s="323"/>
      <c r="E102" s="323"/>
      <c r="F102" s="323"/>
      <c r="G102" s="323"/>
      <c r="H102" s="323"/>
      <c r="I102" s="323"/>
      <c r="J102" s="323"/>
      <c r="K102" s="323"/>
      <c r="L102" s="323"/>
      <c r="M102" s="323"/>
      <c r="N102" s="323"/>
      <c r="O102" s="323"/>
      <c r="P102" s="323"/>
      <c r="Q102" s="323"/>
      <c r="R102" s="323"/>
    </row>
    <row r="103" spans="1:18" ht="15" customHeight="1">
      <c r="A103" s="557" t="s">
        <v>35</v>
      </c>
      <c r="B103" s="557"/>
      <c r="C103" s="557" t="s">
        <v>42</v>
      </c>
      <c r="D103" s="495" t="s">
        <v>65</v>
      </c>
      <c r="E103" s="496"/>
      <c r="F103" s="496"/>
      <c r="G103" s="496"/>
      <c r="H103" s="496"/>
      <c r="I103" s="496"/>
      <c r="J103" s="496"/>
      <c r="K103" s="496"/>
      <c r="L103" s="496"/>
      <c r="M103" s="496"/>
      <c r="N103" s="496"/>
      <c r="O103" s="497"/>
      <c r="P103" s="557" t="s">
        <v>39</v>
      </c>
      <c r="Q103" s="557"/>
      <c r="R103" s="323"/>
    </row>
    <row r="104" spans="1:18" ht="41.25" customHeight="1">
      <c r="A104" s="557"/>
      <c r="B104" s="557"/>
      <c r="C104" s="557"/>
      <c r="D104" s="346">
        <v>1</v>
      </c>
      <c r="E104" s="346">
        <v>2</v>
      </c>
      <c r="F104" s="346">
        <v>3</v>
      </c>
      <c r="G104" s="346">
        <v>4</v>
      </c>
      <c r="H104" s="346">
        <v>5</v>
      </c>
      <c r="I104" s="346">
        <v>6</v>
      </c>
      <c r="J104" s="346">
        <v>7</v>
      </c>
      <c r="K104" s="346">
        <v>8</v>
      </c>
      <c r="L104" s="346">
        <v>9</v>
      </c>
      <c r="M104" s="346">
        <v>10</v>
      </c>
      <c r="N104" s="346">
        <v>11</v>
      </c>
      <c r="O104" s="346">
        <v>12</v>
      </c>
      <c r="P104" s="557"/>
      <c r="Q104" s="557"/>
      <c r="R104" s="323"/>
    </row>
    <row r="105" spans="1:18" ht="41.25" customHeight="1" hidden="1">
      <c r="A105" s="564" t="s">
        <v>139</v>
      </c>
      <c r="B105" s="565"/>
      <c r="C105" s="350" t="s">
        <v>43</v>
      </c>
      <c r="D105" s="351">
        <f>ROUND(D106/D69,2)</f>
        <v>0</v>
      </c>
      <c r="E105" s="351">
        <f aca="true" t="shared" si="2" ref="E105:O105">ROUND(E106/E69,2)</f>
        <v>0</v>
      </c>
      <c r="F105" s="351">
        <f t="shared" si="2"/>
        <v>0</v>
      </c>
      <c r="G105" s="351">
        <f t="shared" si="2"/>
        <v>0</v>
      </c>
      <c r="H105" s="351">
        <f t="shared" si="2"/>
        <v>0</v>
      </c>
      <c r="I105" s="351">
        <f t="shared" si="2"/>
        <v>0</v>
      </c>
      <c r="J105" s="351">
        <f t="shared" si="2"/>
        <v>0</v>
      </c>
      <c r="K105" s="351">
        <f t="shared" si="2"/>
        <v>0</v>
      </c>
      <c r="L105" s="351">
        <f t="shared" si="2"/>
        <v>0</v>
      </c>
      <c r="M105" s="351">
        <f t="shared" si="2"/>
        <v>0</v>
      </c>
      <c r="N105" s="351">
        <f t="shared" si="2"/>
        <v>0</v>
      </c>
      <c r="O105" s="351">
        <f t="shared" si="2"/>
        <v>0</v>
      </c>
      <c r="P105" s="562">
        <f>SUM(D105:O105)</f>
        <v>0</v>
      </c>
      <c r="Q105" s="562"/>
      <c r="R105" s="323"/>
    </row>
    <row r="106" spans="1:18" ht="72.75" customHeight="1" hidden="1">
      <c r="A106" s="566"/>
      <c r="B106" s="567"/>
      <c r="C106" s="350" t="s">
        <v>44</v>
      </c>
      <c r="D106" s="351">
        <f>'таблица вспом'!C35</f>
        <v>0</v>
      </c>
      <c r="E106" s="351">
        <f>'таблица вспом'!D35</f>
        <v>0</v>
      </c>
      <c r="F106" s="351">
        <f>'таблица вспом'!E35</f>
        <v>0</v>
      </c>
      <c r="G106" s="351">
        <f>'таблица вспом'!G35</f>
        <v>0</v>
      </c>
      <c r="H106" s="351">
        <f>'таблица вспом'!H35</f>
        <v>0</v>
      </c>
      <c r="I106" s="351">
        <f>'таблица вспом'!I35</f>
        <v>0</v>
      </c>
      <c r="J106" s="351">
        <f>'таблица вспом'!K35</f>
        <v>0</v>
      </c>
      <c r="K106" s="351">
        <f>'таблица вспом'!L35</f>
        <v>0</v>
      </c>
      <c r="L106" s="351">
        <f>'таблица вспом'!M35</f>
        <v>0</v>
      </c>
      <c r="M106" s="351">
        <f>'таблица вспом'!O35</f>
        <v>0</v>
      </c>
      <c r="N106" s="351">
        <f>'таблица вспом'!P35</f>
        <v>0</v>
      </c>
      <c r="O106" s="351">
        <f>'таблица вспом'!Q35</f>
        <v>0</v>
      </c>
      <c r="P106" s="562">
        <f aca="true" t="shared" si="3" ref="P106:P114">SUM(D106:O106)</f>
        <v>0</v>
      </c>
      <c r="Q106" s="562"/>
      <c r="R106" s="352"/>
    </row>
    <row r="107" spans="1:18" ht="72.75" customHeight="1" hidden="1">
      <c r="A107" s="603" t="s">
        <v>182</v>
      </c>
      <c r="B107" s="565"/>
      <c r="C107" s="350" t="s">
        <v>43</v>
      </c>
      <c r="D107" s="351">
        <f>ROUND(D108/D69,2)</f>
        <v>0</v>
      </c>
      <c r="E107" s="351">
        <f>ROUND(E108/E69,2)</f>
        <v>0</v>
      </c>
      <c r="F107" s="351">
        <f>ROUND(F108/F69,2)</f>
        <v>0</v>
      </c>
      <c r="G107" s="351">
        <f>'таблица вспом'!G35</f>
        <v>0</v>
      </c>
      <c r="H107" s="351">
        <f aca="true" t="shared" si="4" ref="H107:O107">ROUND(H108/H69,2)</f>
        <v>0</v>
      </c>
      <c r="I107" s="351">
        <f t="shared" si="4"/>
        <v>0</v>
      </c>
      <c r="J107" s="351">
        <f t="shared" si="4"/>
        <v>0</v>
      </c>
      <c r="K107" s="351">
        <f t="shared" si="4"/>
        <v>0</v>
      </c>
      <c r="L107" s="351">
        <f t="shared" si="4"/>
        <v>0</v>
      </c>
      <c r="M107" s="351">
        <f t="shared" si="4"/>
        <v>0</v>
      </c>
      <c r="N107" s="351">
        <f t="shared" si="4"/>
        <v>0</v>
      </c>
      <c r="O107" s="351">
        <f t="shared" si="4"/>
        <v>0</v>
      </c>
      <c r="P107" s="562">
        <f>SUM(D107:O107)</f>
        <v>0</v>
      </c>
      <c r="Q107" s="562"/>
      <c r="R107" s="352"/>
    </row>
    <row r="108" spans="1:18" ht="72.75" customHeight="1" hidden="1">
      <c r="A108" s="566"/>
      <c r="B108" s="567"/>
      <c r="C108" s="350" t="s">
        <v>44</v>
      </c>
      <c r="D108" s="351">
        <f>'таблица вспом'!C34</f>
        <v>0</v>
      </c>
      <c r="E108" s="351">
        <f>'таблица вспом'!D34</f>
        <v>0</v>
      </c>
      <c r="F108" s="351">
        <f>'таблица вспом'!E34</f>
        <v>0</v>
      </c>
      <c r="G108" s="351">
        <f>'таблица вспом'!G34</f>
        <v>0</v>
      </c>
      <c r="H108" s="351">
        <f>'таблица вспом'!H34</f>
        <v>0</v>
      </c>
      <c r="I108" s="351">
        <f>'таблица вспом'!I34</f>
        <v>0</v>
      </c>
      <c r="J108" s="351">
        <f>'таблица вспом'!K34</f>
        <v>0</v>
      </c>
      <c r="K108" s="351">
        <f>'таблица вспом'!L34</f>
        <v>0</v>
      </c>
      <c r="L108" s="351">
        <f>'таблица вспом'!M34</f>
        <v>0</v>
      </c>
      <c r="M108" s="351">
        <f>'таблица вспом'!O34</f>
        <v>0</v>
      </c>
      <c r="N108" s="351">
        <f>'таблица вспом'!P34</f>
        <v>0</v>
      </c>
      <c r="O108" s="351">
        <f>'таблица вспом'!Q34</f>
        <v>0</v>
      </c>
      <c r="P108" s="562">
        <f>SUM(D108:O108)</f>
        <v>0</v>
      </c>
      <c r="Q108" s="562"/>
      <c r="R108" s="352"/>
    </row>
    <row r="109" spans="1:18" ht="54.75" customHeight="1">
      <c r="A109" s="564" t="s">
        <v>140</v>
      </c>
      <c r="B109" s="565"/>
      <c r="C109" s="350" t="s">
        <v>43</v>
      </c>
      <c r="D109" s="351">
        <f aca="true" t="shared" si="5" ref="D109:O109">ROUND(D110/D69,2)</f>
        <v>521.81</v>
      </c>
      <c r="E109" s="351">
        <f t="shared" si="5"/>
        <v>1698.5</v>
      </c>
      <c r="F109" s="351">
        <f t="shared" si="5"/>
        <v>1710.95</v>
      </c>
      <c r="G109" s="351">
        <f t="shared" si="5"/>
        <v>3500.42</v>
      </c>
      <c r="H109" s="351">
        <f t="shared" si="5"/>
        <v>1724.58</v>
      </c>
      <c r="I109" s="351">
        <f t="shared" si="5"/>
        <v>3887.5</v>
      </c>
      <c r="J109" s="351">
        <f t="shared" si="5"/>
        <v>1053.67</v>
      </c>
      <c r="K109" s="351">
        <f t="shared" si="5"/>
        <v>305.13</v>
      </c>
      <c r="L109" s="351">
        <f t="shared" si="5"/>
        <v>1008.6</v>
      </c>
      <c r="M109" s="351">
        <f t="shared" si="5"/>
        <v>3415.64</v>
      </c>
      <c r="N109" s="351">
        <f t="shared" si="5"/>
        <v>272.01</v>
      </c>
      <c r="O109" s="351">
        <f t="shared" si="5"/>
        <v>3036.27</v>
      </c>
      <c r="P109" s="562">
        <f>SUM(D109:O109)</f>
        <v>22135.079999999998</v>
      </c>
      <c r="Q109" s="562"/>
      <c r="R109" s="323"/>
    </row>
    <row r="110" spans="1:18" ht="64.5" customHeight="1">
      <c r="A110" s="566"/>
      <c r="B110" s="567"/>
      <c r="C110" s="350" t="s">
        <v>44</v>
      </c>
      <c r="D110" s="402">
        <f>'таблица вспом'!C33</f>
        <v>157065</v>
      </c>
      <c r="E110" s="402">
        <f>'таблица вспом'!D33</f>
        <v>511247</v>
      </c>
      <c r="F110" s="402">
        <f>'таблица вспом'!E33</f>
        <v>514995</v>
      </c>
      <c r="G110" s="351">
        <f>'таблица вспом'!G33</f>
        <v>1053627</v>
      </c>
      <c r="H110" s="351">
        <f>'таблица вспом'!H33</f>
        <v>519099.6</v>
      </c>
      <c r="I110" s="351">
        <f>'таблица вспом'!I33</f>
        <v>1170137.54</v>
      </c>
      <c r="J110" s="351">
        <f>'таблица вспом'!K33</f>
        <v>317154</v>
      </c>
      <c r="K110" s="351">
        <f>'таблица вспом'!L33</f>
        <v>91843.66</v>
      </c>
      <c r="L110" s="351">
        <f>'таблица вспом'!M33</f>
        <v>331828</v>
      </c>
      <c r="M110" s="351">
        <f>'таблица вспом'!O33</f>
        <v>1123745</v>
      </c>
      <c r="N110" s="351">
        <f>'таблица вспом'!P33</f>
        <v>89492</v>
      </c>
      <c r="O110" s="351">
        <f>'таблица вспом'!Q33</f>
        <v>998932</v>
      </c>
      <c r="P110" s="562">
        <f>SUM(D110:O110)</f>
        <v>6879165.800000001</v>
      </c>
      <c r="Q110" s="562"/>
      <c r="R110" s="323"/>
    </row>
    <row r="111" spans="1:18" ht="41.25" customHeight="1">
      <c r="A111" s="563" t="s">
        <v>141</v>
      </c>
      <c r="B111" s="563"/>
      <c r="C111" s="350" t="s">
        <v>43</v>
      </c>
      <c r="D111" s="351">
        <f>ROUND(D112/D69,2)</f>
        <v>806.93</v>
      </c>
      <c r="E111" s="351">
        <f aca="true" t="shared" si="6" ref="E111:O111">ROUND(E112/E69,2)</f>
        <v>1491.75</v>
      </c>
      <c r="F111" s="351">
        <f t="shared" si="6"/>
        <v>1212.85</v>
      </c>
      <c r="G111" s="351">
        <f t="shared" si="6"/>
        <v>1918.54</v>
      </c>
      <c r="H111" s="351">
        <f t="shared" si="6"/>
        <v>1345.66</v>
      </c>
      <c r="I111" s="351">
        <f t="shared" si="6"/>
        <v>904.51</v>
      </c>
      <c r="J111" s="351">
        <f t="shared" si="6"/>
        <v>1390.08</v>
      </c>
      <c r="K111" s="351">
        <f t="shared" si="6"/>
        <v>664.21</v>
      </c>
      <c r="L111" s="351">
        <f t="shared" si="6"/>
        <v>482.67</v>
      </c>
      <c r="M111" s="351">
        <f t="shared" si="6"/>
        <v>1292.89</v>
      </c>
      <c r="N111" s="351">
        <f t="shared" si="6"/>
        <v>1119.68</v>
      </c>
      <c r="O111" s="351">
        <f t="shared" si="6"/>
        <v>1722.28</v>
      </c>
      <c r="P111" s="562">
        <f t="shared" si="3"/>
        <v>14352.05</v>
      </c>
      <c r="Q111" s="562"/>
      <c r="R111" s="323"/>
    </row>
    <row r="112" spans="1:18" ht="54" customHeight="1">
      <c r="A112" s="563"/>
      <c r="B112" s="563"/>
      <c r="C112" s="350" t="s">
        <v>44</v>
      </c>
      <c r="D112" s="351">
        <f>'таблица вспом'!C39</f>
        <v>242885</v>
      </c>
      <c r="E112" s="351">
        <f>'таблица вспом'!D39</f>
        <v>449017</v>
      </c>
      <c r="F112" s="351">
        <f>'таблица вспом'!E39</f>
        <v>365067.79000000004</v>
      </c>
      <c r="G112" s="351">
        <f>'таблица вспом'!G39</f>
        <v>577481.1</v>
      </c>
      <c r="H112" s="351">
        <f>'таблица вспом'!H39</f>
        <v>405043.08999999997</v>
      </c>
      <c r="I112" s="351">
        <f>'таблица вспом'!I39</f>
        <v>272256.85</v>
      </c>
      <c r="J112" s="351">
        <f>'таблица вспом'!K39</f>
        <v>418414</v>
      </c>
      <c r="K112" s="351">
        <f>'таблица вспом'!L39</f>
        <v>199928</v>
      </c>
      <c r="L112" s="351">
        <f>'таблица вспом'!M39</f>
        <v>158797</v>
      </c>
      <c r="M112" s="351">
        <f>'таблица вспом'!O39</f>
        <v>425362</v>
      </c>
      <c r="N112" s="351">
        <f>'таблица вспом'!P39</f>
        <v>368374</v>
      </c>
      <c r="O112" s="351">
        <f>'таблица вспом'!Q39</f>
        <v>566629.17</v>
      </c>
      <c r="P112" s="562">
        <f t="shared" si="3"/>
        <v>4449255</v>
      </c>
      <c r="Q112" s="562"/>
      <c r="R112" s="323"/>
    </row>
    <row r="113" spans="1:18" ht="40.5" customHeight="1" hidden="1">
      <c r="A113" s="563" t="s">
        <v>87</v>
      </c>
      <c r="B113" s="563"/>
      <c r="C113" s="353" t="s">
        <v>43</v>
      </c>
      <c r="D113" s="351"/>
      <c r="E113" s="351"/>
      <c r="F113" s="351"/>
      <c r="G113" s="351"/>
      <c r="H113" s="351"/>
      <c r="I113" s="351"/>
      <c r="J113" s="351"/>
      <c r="K113" s="351"/>
      <c r="L113" s="351"/>
      <c r="M113" s="351"/>
      <c r="N113" s="351"/>
      <c r="O113" s="351"/>
      <c r="P113" s="562">
        <f t="shared" si="3"/>
        <v>0</v>
      </c>
      <c r="Q113" s="562"/>
      <c r="R113" s="323"/>
    </row>
    <row r="114" spans="1:18" ht="52.5" customHeight="1" hidden="1">
      <c r="A114" s="563"/>
      <c r="B114" s="563"/>
      <c r="C114" s="353" t="s">
        <v>44</v>
      </c>
      <c r="D114" s="351"/>
      <c r="E114" s="351"/>
      <c r="F114" s="351"/>
      <c r="G114" s="351"/>
      <c r="H114" s="351"/>
      <c r="I114" s="351"/>
      <c r="J114" s="351"/>
      <c r="K114" s="351"/>
      <c r="L114" s="351"/>
      <c r="M114" s="351"/>
      <c r="N114" s="351"/>
      <c r="O114" s="351"/>
      <c r="P114" s="562">
        <f t="shared" si="3"/>
        <v>0</v>
      </c>
      <c r="Q114" s="562"/>
      <c r="R114" s="323"/>
    </row>
    <row r="115" spans="1:18" ht="52.5" customHeight="1">
      <c r="A115" s="563" t="s">
        <v>142</v>
      </c>
      <c r="B115" s="563"/>
      <c r="C115" s="350" t="s">
        <v>43</v>
      </c>
      <c r="D115" s="351">
        <f>ROUND(D116/D69,2)</f>
        <v>204.18</v>
      </c>
      <c r="E115" s="351">
        <f aca="true" t="shared" si="7" ref="E115:O115">ROUND(E116/E69,2)</f>
        <v>664.61</v>
      </c>
      <c r="F115" s="351">
        <f t="shared" si="7"/>
        <v>664.62</v>
      </c>
      <c r="G115" s="351">
        <f t="shared" si="7"/>
        <v>664.62</v>
      </c>
      <c r="H115" s="351">
        <f t="shared" si="7"/>
        <v>874.84</v>
      </c>
      <c r="I115" s="351">
        <f t="shared" si="7"/>
        <v>159.31</v>
      </c>
      <c r="J115" s="351">
        <f t="shared" si="7"/>
        <v>110.82</v>
      </c>
      <c r="K115" s="351">
        <f t="shared" si="7"/>
        <v>403.81</v>
      </c>
      <c r="L115" s="351">
        <f t="shared" si="7"/>
        <v>597.84</v>
      </c>
      <c r="M115" s="351">
        <f t="shared" si="7"/>
        <v>608.05</v>
      </c>
      <c r="N115" s="351">
        <f t="shared" si="7"/>
        <v>608.05</v>
      </c>
      <c r="O115" s="351">
        <f t="shared" si="7"/>
        <v>987.45</v>
      </c>
      <c r="P115" s="562">
        <f>SUM(D115:O115)</f>
        <v>6548.2</v>
      </c>
      <c r="Q115" s="562"/>
      <c r="R115" s="323"/>
    </row>
    <row r="116" spans="1:18" ht="52.5" customHeight="1">
      <c r="A116" s="563"/>
      <c r="B116" s="563"/>
      <c r="C116" s="350" t="s">
        <v>44</v>
      </c>
      <c r="D116" s="351">
        <f>'таблица вспом'!C38</f>
        <v>61459</v>
      </c>
      <c r="E116" s="351">
        <f>'таблица вспом'!D38</f>
        <v>200049</v>
      </c>
      <c r="F116" s="351">
        <f>'таблица вспом'!E38</f>
        <v>200050</v>
      </c>
      <c r="G116" s="351">
        <f>'таблица вспом'!G38</f>
        <v>200050</v>
      </c>
      <c r="H116" s="351">
        <f>'таблица вспом'!H38</f>
        <v>263326.4</v>
      </c>
      <c r="I116" s="351">
        <f>'таблица вспом'!I38</f>
        <v>47952.46</v>
      </c>
      <c r="J116" s="351">
        <f>'таблица вспом'!K38</f>
        <v>33358</v>
      </c>
      <c r="K116" s="351">
        <f>'таблица вспом'!L38</f>
        <v>121546.34</v>
      </c>
      <c r="L116" s="351">
        <f>'таблица вспом'!M38</f>
        <v>196691</v>
      </c>
      <c r="M116" s="351">
        <f>'таблица вспом'!O38</f>
        <v>200050</v>
      </c>
      <c r="N116" s="351">
        <f>'таблица вспом'!P38</f>
        <v>200048</v>
      </c>
      <c r="O116" s="351">
        <f>'таблица вспом'!Q38</f>
        <v>324871</v>
      </c>
      <c r="P116" s="562">
        <f>SUM(D116:O116)</f>
        <v>2049451.2</v>
      </c>
      <c r="Q116" s="562"/>
      <c r="R116" s="323"/>
    </row>
    <row r="117" spans="1:18" ht="77.25" customHeight="1">
      <c r="A117" s="563" t="s">
        <v>45</v>
      </c>
      <c r="B117" s="563"/>
      <c r="C117" s="353" t="s">
        <v>46</v>
      </c>
      <c r="D117" s="351">
        <f>D114+D112+D106+D116+D110+D108</f>
        <v>461409</v>
      </c>
      <c r="E117" s="351">
        <f aca="true" t="shared" si="8" ref="E117:O117">E114+E112+E106+E116+E110+E108</f>
        <v>1160313</v>
      </c>
      <c r="F117" s="351">
        <f t="shared" si="8"/>
        <v>1080112.79</v>
      </c>
      <c r="G117" s="351">
        <f t="shared" si="8"/>
        <v>1831158.1</v>
      </c>
      <c r="H117" s="351">
        <f t="shared" si="8"/>
        <v>1187469.0899999999</v>
      </c>
      <c r="I117" s="351">
        <f t="shared" si="8"/>
        <v>1490346.85</v>
      </c>
      <c r="J117" s="351">
        <f t="shared" si="8"/>
        <v>768926</v>
      </c>
      <c r="K117" s="351">
        <f t="shared" si="8"/>
        <v>413318</v>
      </c>
      <c r="L117" s="351">
        <f t="shared" si="8"/>
        <v>687316</v>
      </c>
      <c r="M117" s="351">
        <f t="shared" si="8"/>
        <v>1749157</v>
      </c>
      <c r="N117" s="351">
        <f t="shared" si="8"/>
        <v>657914</v>
      </c>
      <c r="O117" s="351">
        <f t="shared" si="8"/>
        <v>1890432.17</v>
      </c>
      <c r="P117" s="562">
        <f>SUM(D117:O117)</f>
        <v>13377872</v>
      </c>
      <c r="Q117" s="562"/>
      <c r="R117" s="323"/>
    </row>
    <row r="118" spans="1:18" ht="15.75" thickBot="1">
      <c r="A118" s="323"/>
      <c r="B118" s="323"/>
      <c r="C118" s="323"/>
      <c r="D118" s="323"/>
      <c r="E118" s="323"/>
      <c r="F118" s="323"/>
      <c r="G118" s="323"/>
      <c r="H118" s="323"/>
      <c r="I118" s="323"/>
      <c r="J118" s="323"/>
      <c r="K118" s="323"/>
      <c r="L118" s="323"/>
      <c r="M118" s="323"/>
      <c r="N118" s="323"/>
      <c r="O118" s="323"/>
      <c r="P118" s="323"/>
      <c r="Q118" s="323"/>
      <c r="R118" s="323"/>
    </row>
    <row r="119" spans="1:18" ht="21" customHeight="1">
      <c r="A119" s="348" t="s">
        <v>64</v>
      </c>
      <c r="B119" s="349" t="s">
        <v>151</v>
      </c>
      <c r="C119" s="323"/>
      <c r="D119" s="323"/>
      <c r="E119" s="323"/>
      <c r="F119" s="323"/>
      <c r="G119" s="323"/>
      <c r="H119" s="323"/>
      <c r="I119" s="323"/>
      <c r="J119" s="323"/>
      <c r="K119" s="323"/>
      <c r="L119" s="323"/>
      <c r="M119" s="323"/>
      <c r="N119" s="323"/>
      <c r="O119" s="323"/>
      <c r="P119" s="323"/>
      <c r="Q119" s="323"/>
      <c r="R119" s="323"/>
    </row>
    <row r="120" spans="1:18" ht="15">
      <c r="A120" s="323"/>
      <c r="B120" s="323"/>
      <c r="C120" s="323"/>
      <c r="D120" s="323"/>
      <c r="E120" s="323"/>
      <c r="F120" s="323"/>
      <c r="G120" s="323"/>
      <c r="H120" s="323"/>
      <c r="I120" s="323"/>
      <c r="J120" s="323"/>
      <c r="K120" s="323"/>
      <c r="L120" s="323"/>
      <c r="M120" s="323"/>
      <c r="N120" s="323"/>
      <c r="O120" s="323"/>
      <c r="P120" s="323"/>
      <c r="Q120" s="323"/>
      <c r="R120" s="323"/>
    </row>
    <row r="121" spans="1:18" ht="15">
      <c r="A121" s="323"/>
      <c r="B121" s="323"/>
      <c r="C121" s="323"/>
      <c r="D121" s="323"/>
      <c r="E121" s="323"/>
      <c r="F121" s="323"/>
      <c r="G121" s="323"/>
      <c r="H121" s="323"/>
      <c r="I121" s="323"/>
      <c r="J121" s="323"/>
      <c r="K121" s="323"/>
      <c r="L121" s="323"/>
      <c r="M121" s="323"/>
      <c r="N121" s="323"/>
      <c r="O121" s="323"/>
      <c r="P121" s="323"/>
      <c r="Q121" s="323"/>
      <c r="R121" s="323"/>
    </row>
    <row r="122" spans="1:18" ht="29.25" customHeight="1">
      <c r="A122" s="454" t="s">
        <v>40</v>
      </c>
      <c r="B122" s="454"/>
      <c r="C122" s="454"/>
      <c r="D122" s="454"/>
      <c r="E122" s="454"/>
      <c r="F122" s="454"/>
      <c r="G122" s="454"/>
      <c r="H122" s="454"/>
      <c r="I122" s="454"/>
      <c r="J122" s="454"/>
      <c r="K122" s="454"/>
      <c r="L122" s="454"/>
      <c r="M122" s="454"/>
      <c r="N122" s="454"/>
      <c r="O122" s="454"/>
      <c r="P122" s="454"/>
      <c r="Q122" s="454"/>
      <c r="R122" s="454"/>
    </row>
    <row r="123" spans="1:18" ht="15">
      <c r="A123" s="323"/>
      <c r="B123" s="323" t="s">
        <v>47</v>
      </c>
      <c r="C123" s="323"/>
      <c r="D123" s="323"/>
      <c r="E123" s="323"/>
      <c r="F123" s="323"/>
      <c r="G123" s="323"/>
      <c r="H123" s="323"/>
      <c r="I123" s="323"/>
      <c r="J123" s="323"/>
      <c r="K123" s="323"/>
      <c r="L123" s="323"/>
      <c r="M123" s="323"/>
      <c r="N123" s="323"/>
      <c r="O123" s="323"/>
      <c r="P123" s="323"/>
      <c r="Q123" s="323"/>
      <c r="R123" s="323"/>
    </row>
    <row r="124" spans="1:18" ht="15">
      <c r="A124" s="323"/>
      <c r="B124" s="323"/>
      <c r="C124" s="323"/>
      <c r="D124" s="323"/>
      <c r="E124" s="323"/>
      <c r="F124" s="323"/>
      <c r="G124" s="323"/>
      <c r="H124" s="323"/>
      <c r="I124" s="323"/>
      <c r="J124" s="323"/>
      <c r="K124" s="323"/>
      <c r="L124" s="323"/>
      <c r="M124" s="323"/>
      <c r="N124" s="323"/>
      <c r="O124" s="323"/>
      <c r="P124" s="323"/>
      <c r="Q124" s="323"/>
      <c r="R124" s="323"/>
    </row>
    <row r="125" spans="1:18" ht="15" customHeight="1">
      <c r="A125" s="557" t="s">
        <v>35</v>
      </c>
      <c r="B125" s="557"/>
      <c r="C125" s="557"/>
      <c r="D125" s="495" t="s">
        <v>65</v>
      </c>
      <c r="E125" s="496"/>
      <c r="F125" s="496"/>
      <c r="G125" s="496"/>
      <c r="H125" s="496"/>
      <c r="I125" s="496"/>
      <c r="J125" s="496"/>
      <c r="K125" s="496"/>
      <c r="L125" s="496"/>
      <c r="M125" s="496"/>
      <c r="N125" s="496"/>
      <c r="O125" s="497"/>
      <c r="P125" s="558" t="s">
        <v>39</v>
      </c>
      <c r="Q125" s="559"/>
      <c r="R125" s="323"/>
    </row>
    <row r="126" spans="1:18" ht="15">
      <c r="A126" s="557"/>
      <c r="B126" s="557"/>
      <c r="C126" s="557"/>
      <c r="D126" s="346">
        <v>1</v>
      </c>
      <c r="E126" s="346">
        <v>2</v>
      </c>
      <c r="F126" s="346">
        <v>3</v>
      </c>
      <c r="G126" s="346">
        <v>4</v>
      </c>
      <c r="H126" s="346">
        <v>5</v>
      </c>
      <c r="I126" s="346">
        <v>6</v>
      </c>
      <c r="J126" s="346">
        <v>7</v>
      </c>
      <c r="K126" s="346">
        <v>8</v>
      </c>
      <c r="L126" s="346">
        <v>9</v>
      </c>
      <c r="M126" s="346">
        <v>10</v>
      </c>
      <c r="N126" s="346">
        <v>11</v>
      </c>
      <c r="O126" s="346">
        <v>12</v>
      </c>
      <c r="P126" s="560"/>
      <c r="Q126" s="561"/>
      <c r="R126" s="323"/>
    </row>
    <row r="127" spans="1:18" ht="72" customHeight="1">
      <c r="A127" s="459" t="s">
        <v>112</v>
      </c>
      <c r="B127" s="459"/>
      <c r="C127" s="460"/>
      <c r="D127" s="402">
        <f>D128</f>
        <v>207105</v>
      </c>
      <c r="E127" s="402">
        <f aca="true" t="shared" si="9" ref="E127:O127">E128</f>
        <v>0</v>
      </c>
      <c r="F127" s="402">
        <f t="shared" si="9"/>
        <v>31876</v>
      </c>
      <c r="G127" s="402">
        <f t="shared" si="9"/>
        <v>120472</v>
      </c>
      <c r="H127" s="402">
        <f t="shared" si="9"/>
        <v>0</v>
      </c>
      <c r="I127" s="402">
        <f t="shared" si="9"/>
        <v>0</v>
      </c>
      <c r="J127" s="402">
        <f t="shared" si="9"/>
        <v>34243</v>
      </c>
      <c r="K127" s="402">
        <f t="shared" si="9"/>
        <v>87079</v>
      </c>
      <c r="L127" s="402">
        <f t="shared" si="9"/>
        <v>0</v>
      </c>
      <c r="M127" s="402">
        <f t="shared" si="9"/>
        <v>34243</v>
      </c>
      <c r="N127" s="402">
        <f t="shared" si="9"/>
        <v>86910</v>
      </c>
      <c r="O127" s="402">
        <f t="shared" si="9"/>
        <v>0</v>
      </c>
      <c r="P127" s="450">
        <f>SUM(D127:O127)</f>
        <v>601928</v>
      </c>
      <c r="Q127" s="451"/>
      <c r="R127" s="323"/>
    </row>
    <row r="128" spans="1:18" ht="49.5" customHeight="1">
      <c r="A128" s="554" t="s">
        <v>87</v>
      </c>
      <c r="B128" s="555"/>
      <c r="C128" s="556"/>
      <c r="D128" s="402">
        <f>'таблица вспом'!C42</f>
        <v>207105</v>
      </c>
      <c r="E128" s="402">
        <f>'таблица вспом'!D42</f>
        <v>0</v>
      </c>
      <c r="F128" s="402">
        <f>'таблица вспом'!E42</f>
        <v>31876</v>
      </c>
      <c r="G128" s="402">
        <f>'таблица вспом'!G42</f>
        <v>120472</v>
      </c>
      <c r="H128" s="402">
        <f>'таблица вспом'!H42</f>
        <v>0</v>
      </c>
      <c r="I128" s="402">
        <f>'таблица вспом'!I42</f>
        <v>0</v>
      </c>
      <c r="J128" s="402">
        <f>'таблица вспом'!K42</f>
        <v>34243</v>
      </c>
      <c r="K128" s="402">
        <f>'таблица вспом'!L42</f>
        <v>87079</v>
      </c>
      <c r="L128" s="402">
        <f>'таблица вспом'!M42</f>
        <v>0</v>
      </c>
      <c r="M128" s="402">
        <f>'таблица вспом'!O42</f>
        <v>34243</v>
      </c>
      <c r="N128" s="402">
        <f>'таблица вспом'!P42</f>
        <v>86910</v>
      </c>
      <c r="O128" s="402">
        <f>'таблица вспом'!Q42</f>
        <v>0</v>
      </c>
      <c r="P128" s="450">
        <f>SUM(D128:O128)</f>
        <v>601928</v>
      </c>
      <c r="Q128" s="451"/>
      <c r="R128" s="323"/>
    </row>
    <row r="129" spans="1:18" ht="15.75" thickBot="1">
      <c r="A129" s="323"/>
      <c r="B129" s="323"/>
      <c r="C129" s="323"/>
      <c r="D129" s="323"/>
      <c r="E129" s="323"/>
      <c r="F129" s="323"/>
      <c r="G129" s="323"/>
      <c r="H129" s="323"/>
      <c r="I129" s="323"/>
      <c r="J129" s="323"/>
      <c r="K129" s="323"/>
      <c r="L129" s="323"/>
      <c r="M129" s="323"/>
      <c r="N129" s="323"/>
      <c r="O129" s="323"/>
      <c r="P129" s="323"/>
      <c r="Q129" s="323"/>
      <c r="R129" s="323"/>
    </row>
    <row r="130" spans="1:18" ht="15">
      <c r="A130" s="348" t="s">
        <v>64</v>
      </c>
      <c r="B130" s="349" t="s">
        <v>151</v>
      </c>
      <c r="C130" s="323"/>
      <c r="D130" s="323"/>
      <c r="E130" s="323"/>
      <c r="F130" s="323"/>
      <c r="G130" s="323"/>
      <c r="H130" s="323"/>
      <c r="I130" s="323"/>
      <c r="J130" s="323"/>
      <c r="K130" s="323"/>
      <c r="L130" s="323"/>
      <c r="M130" s="323"/>
      <c r="N130" s="323"/>
      <c r="O130" s="323"/>
      <c r="P130" s="323"/>
      <c r="Q130" s="323"/>
      <c r="R130" s="323"/>
    </row>
    <row r="131" spans="1:18" ht="15">
      <c r="A131" s="445"/>
      <c r="B131" s="345"/>
      <c r="C131" s="323"/>
      <c r="D131" s="323"/>
      <c r="E131" s="323"/>
      <c r="F131" s="323"/>
      <c r="G131" s="323"/>
      <c r="H131" s="323"/>
      <c r="I131" s="323"/>
      <c r="J131" s="323"/>
      <c r="K131" s="323"/>
      <c r="L131" s="323"/>
      <c r="M131" s="323"/>
      <c r="N131" s="323"/>
      <c r="O131" s="323"/>
      <c r="P131" s="323"/>
      <c r="Q131" s="323"/>
      <c r="R131" s="323"/>
    </row>
    <row r="132" spans="1:18" ht="15">
      <c r="A132" s="445"/>
      <c r="B132" s="345"/>
      <c r="C132" s="323"/>
      <c r="D132" s="323"/>
      <c r="E132" s="323"/>
      <c r="F132" s="323"/>
      <c r="G132" s="323"/>
      <c r="H132" s="323"/>
      <c r="I132" s="323"/>
      <c r="J132" s="323"/>
      <c r="K132" s="323"/>
      <c r="L132" s="323"/>
      <c r="M132" s="323"/>
      <c r="N132" s="323"/>
      <c r="O132" s="323"/>
      <c r="P132" s="323"/>
      <c r="Q132" s="323"/>
      <c r="R132" s="323"/>
    </row>
    <row r="133" spans="1:18" ht="15">
      <c r="A133" s="445"/>
      <c r="B133" s="345"/>
      <c r="C133" s="323"/>
      <c r="D133" s="323"/>
      <c r="E133" s="323"/>
      <c r="F133" s="323"/>
      <c r="G133" s="323"/>
      <c r="H133" s="323"/>
      <c r="I133" s="323"/>
      <c r="J133" s="323"/>
      <c r="K133" s="323"/>
      <c r="L133" s="323"/>
      <c r="M133" s="323"/>
      <c r="N133" s="323"/>
      <c r="O133" s="323"/>
      <c r="P133" s="323"/>
      <c r="Q133" s="323"/>
      <c r="R133" s="323"/>
    </row>
    <row r="134" spans="1:18" ht="15">
      <c r="A134" s="445"/>
      <c r="B134" s="345"/>
      <c r="C134" s="323"/>
      <c r="D134" s="323"/>
      <c r="E134" s="323"/>
      <c r="F134" s="323"/>
      <c r="G134" s="323"/>
      <c r="H134" s="323"/>
      <c r="I134" s="323"/>
      <c r="J134" s="323"/>
      <c r="K134" s="323"/>
      <c r="L134" s="323"/>
      <c r="M134" s="323"/>
      <c r="N134" s="323"/>
      <c r="O134" s="323"/>
      <c r="P134" s="323"/>
      <c r="Q134" s="323"/>
      <c r="R134" s="323"/>
    </row>
    <row r="135" spans="1:18" ht="15">
      <c r="A135" s="445"/>
      <c r="B135" s="345"/>
      <c r="C135" s="323"/>
      <c r="D135" s="323"/>
      <c r="E135" s="323"/>
      <c r="F135" s="323"/>
      <c r="G135" s="323"/>
      <c r="H135" s="323"/>
      <c r="I135" s="323"/>
      <c r="J135" s="323"/>
      <c r="K135" s="323"/>
      <c r="L135" s="323"/>
      <c r="M135" s="323"/>
      <c r="N135" s="323"/>
      <c r="O135" s="323"/>
      <c r="P135" s="323"/>
      <c r="Q135" s="323"/>
      <c r="R135" s="323"/>
    </row>
    <row r="136" spans="1:18" ht="15">
      <c r="A136" s="323"/>
      <c r="B136" s="323"/>
      <c r="C136" s="323"/>
      <c r="D136" s="323"/>
      <c r="E136" s="323"/>
      <c r="F136" s="323"/>
      <c r="G136" s="323"/>
      <c r="H136" s="323"/>
      <c r="I136" s="323"/>
      <c r="J136" s="323"/>
      <c r="K136" s="323"/>
      <c r="L136" s="323"/>
      <c r="M136" s="323"/>
      <c r="N136" s="323"/>
      <c r="O136" s="323"/>
      <c r="P136" s="323"/>
      <c r="Q136" s="323"/>
      <c r="R136" s="323"/>
    </row>
    <row r="137" spans="1:18" ht="33" customHeight="1">
      <c r="A137" s="454" t="s">
        <v>40</v>
      </c>
      <c r="B137" s="454"/>
      <c r="C137" s="454"/>
      <c r="D137" s="454"/>
      <c r="E137" s="454"/>
      <c r="F137" s="454"/>
      <c r="G137" s="454"/>
      <c r="H137" s="454"/>
      <c r="I137" s="454"/>
      <c r="J137" s="454"/>
      <c r="K137" s="454"/>
      <c r="L137" s="454"/>
      <c r="M137" s="454"/>
      <c r="N137" s="454"/>
      <c r="O137" s="454"/>
      <c r="P137" s="454"/>
      <c r="Q137" s="454"/>
      <c r="R137" s="454"/>
    </row>
    <row r="138" spans="1:18" ht="15">
      <c r="A138" s="323"/>
      <c r="B138" s="323"/>
      <c r="C138" s="323"/>
      <c r="D138" s="323"/>
      <c r="E138" s="323"/>
      <c r="F138" s="323"/>
      <c r="G138" s="323"/>
      <c r="H138" s="323"/>
      <c r="I138" s="323"/>
      <c r="J138" s="323"/>
      <c r="K138" s="323"/>
      <c r="L138" s="323"/>
      <c r="M138" s="323"/>
      <c r="N138" s="323"/>
      <c r="O138" s="323"/>
      <c r="P138" s="323"/>
      <c r="Q138" s="323"/>
      <c r="R138" s="323"/>
    </row>
    <row r="139" spans="1:18" ht="15">
      <c r="A139" s="323"/>
      <c r="B139" s="323"/>
      <c r="C139" s="323"/>
      <c r="D139" s="323"/>
      <c r="E139" s="323"/>
      <c r="F139" s="323"/>
      <c r="G139" s="323"/>
      <c r="H139" s="323"/>
      <c r="I139" s="323"/>
      <c r="J139" s="323"/>
      <c r="K139" s="323"/>
      <c r="L139" s="323"/>
      <c r="M139" s="323"/>
      <c r="N139" s="323"/>
      <c r="O139" s="323"/>
      <c r="P139" s="323"/>
      <c r="Q139" s="323"/>
      <c r="R139" s="323"/>
    </row>
    <row r="140" spans="1:18" ht="15">
      <c r="A140" s="323"/>
      <c r="B140" s="323" t="s">
        <v>48</v>
      </c>
      <c r="C140" s="323"/>
      <c r="D140" s="323"/>
      <c r="E140" s="323"/>
      <c r="F140" s="323"/>
      <c r="G140" s="323"/>
      <c r="H140" s="323"/>
      <c r="I140" s="323"/>
      <c r="J140" s="323"/>
      <c r="K140" s="323"/>
      <c r="L140" s="323"/>
      <c r="M140" s="323"/>
      <c r="N140" s="323"/>
      <c r="O140" s="323"/>
      <c r="P140" s="323"/>
      <c r="Q140" s="323"/>
      <c r="R140" s="323"/>
    </row>
    <row r="141" spans="1:18" ht="15">
      <c r="A141" s="323"/>
      <c r="B141" s="323"/>
      <c r="C141" s="323"/>
      <c r="D141" s="323"/>
      <c r="E141" s="323"/>
      <c r="F141" s="323"/>
      <c r="G141" s="323"/>
      <c r="H141" s="323"/>
      <c r="I141" s="323"/>
      <c r="J141" s="323"/>
      <c r="K141" s="323"/>
      <c r="L141" s="323"/>
      <c r="M141" s="323"/>
      <c r="N141" s="323"/>
      <c r="O141" s="323"/>
      <c r="P141" s="323"/>
      <c r="Q141" s="323"/>
      <c r="R141" s="323"/>
    </row>
    <row r="142" spans="1:18" ht="15" customHeight="1">
      <c r="A142" s="557" t="s">
        <v>49</v>
      </c>
      <c r="B142" s="557"/>
      <c r="C142" s="557"/>
      <c r="D142" s="495" t="s">
        <v>65</v>
      </c>
      <c r="E142" s="496"/>
      <c r="F142" s="496"/>
      <c r="G142" s="496"/>
      <c r="H142" s="496"/>
      <c r="I142" s="496"/>
      <c r="J142" s="496"/>
      <c r="K142" s="496"/>
      <c r="L142" s="496"/>
      <c r="M142" s="496"/>
      <c r="N142" s="496"/>
      <c r="O142" s="497"/>
      <c r="P142" s="558" t="s">
        <v>39</v>
      </c>
      <c r="Q142" s="559"/>
      <c r="R142" s="323"/>
    </row>
    <row r="143" spans="1:18" ht="15">
      <c r="A143" s="557"/>
      <c r="B143" s="557"/>
      <c r="C143" s="557"/>
      <c r="D143" s="346">
        <v>1</v>
      </c>
      <c r="E143" s="346">
        <v>2</v>
      </c>
      <c r="F143" s="346">
        <v>3</v>
      </c>
      <c r="G143" s="346">
        <v>4</v>
      </c>
      <c r="H143" s="346">
        <v>5</v>
      </c>
      <c r="I143" s="346">
        <v>6</v>
      </c>
      <c r="J143" s="346">
        <v>7</v>
      </c>
      <c r="K143" s="346">
        <v>8</v>
      </c>
      <c r="L143" s="346">
        <v>9</v>
      </c>
      <c r="M143" s="346">
        <v>10</v>
      </c>
      <c r="N143" s="346">
        <v>11</v>
      </c>
      <c r="O143" s="346">
        <v>12</v>
      </c>
      <c r="P143" s="560"/>
      <c r="Q143" s="561"/>
      <c r="R143" s="323"/>
    </row>
    <row r="144" spans="1:19" ht="102" customHeight="1">
      <c r="A144" s="459" t="s">
        <v>112</v>
      </c>
      <c r="B144" s="459"/>
      <c r="C144" s="460"/>
      <c r="D144" s="425">
        <f>D147+D157</f>
        <v>112520</v>
      </c>
      <c r="E144" s="425">
        <f>E147+E157</f>
        <v>71559</v>
      </c>
      <c r="F144" s="425">
        <f>F147+F157</f>
        <v>13194</v>
      </c>
      <c r="G144" s="425">
        <f>G148+G149+G150+G153+G154+G158+G145+G151+G156+G155+G152+G147+G159+G162+G164+G165+G166+G167+G168+G169+G170+G160+G157</f>
        <v>25292.15</v>
      </c>
      <c r="H144" s="425">
        <f>H148+H149+H150+H153+H154+H158+H145+H151+H156+H155+H152+H147+H159+H162+H164+H165+H166+H167+H168+H169+H170+H160+H157</f>
        <v>178199.96</v>
      </c>
      <c r="I144" s="425">
        <f>I148+I149+I150+I153+I154+I158+I145+I151+I156+I155+I152+I147+I159+I162+I164+I165+I166+I167+I168+I169+I170+I160+I157</f>
        <v>50816.2</v>
      </c>
      <c r="J144" s="425">
        <f>J147+J157+J158</f>
        <v>66278.23999999999</v>
      </c>
      <c r="K144" s="425">
        <f>K157</f>
        <v>2520</v>
      </c>
      <c r="L144" s="425">
        <f>L148+L149+L150+L153+L154+L158+L145+L151+L156+L155+L152+L147+L159+L162+L164+L165+L166+L167+L168+L169+L170+L160+L157</f>
        <v>148272.35</v>
      </c>
      <c r="M144" s="425">
        <f>M148+M149+M150+M153+M154+M158+M145+M151+M156+M155+M152+M147+M159+M162+M164+M165+M166+M167+M168+M169+M170+M160</f>
        <v>2462510</v>
      </c>
      <c r="N144" s="425">
        <f>N148+N149+N150+N153+N154+N158+N145+N151+N156+N155+N152+N147+N159+N162+N164+N165+N166+N167+N168+N169+N170+N160+N146</f>
        <v>473150</v>
      </c>
      <c r="O144" s="425">
        <f>O148+O149+O150+O153+O154+O158+O145+O151+O156+O155+O152+O147+O159+O162+O164+O165+O166+O167+O168+O169+O170+O160</f>
        <v>173152.8</v>
      </c>
      <c r="P144" s="450">
        <f>P146+P147+P156+P157+P158</f>
        <v>3777464.7</v>
      </c>
      <c r="Q144" s="451"/>
      <c r="R144" s="352"/>
      <c r="S144" s="18"/>
    </row>
    <row r="145" spans="1:18" ht="53.25" customHeight="1" hidden="1">
      <c r="A145" s="459" t="s">
        <v>134</v>
      </c>
      <c r="B145" s="459"/>
      <c r="C145" s="460"/>
      <c r="D145" s="296"/>
      <c r="E145" s="296"/>
      <c r="F145" s="296"/>
      <c r="G145" s="296"/>
      <c r="H145" s="296"/>
      <c r="I145" s="296"/>
      <c r="J145" s="296"/>
      <c r="K145" s="296"/>
      <c r="L145" s="296"/>
      <c r="M145" s="296">
        <v>0</v>
      </c>
      <c r="N145" s="296"/>
      <c r="O145" s="296"/>
      <c r="P145" s="450">
        <f>SUM(D145:O145)</f>
        <v>0</v>
      </c>
      <c r="Q145" s="451"/>
      <c r="R145" s="352"/>
    </row>
    <row r="146" spans="1:20" ht="57.75" customHeight="1">
      <c r="A146" s="551" t="s">
        <v>134</v>
      </c>
      <c r="B146" s="552"/>
      <c r="C146" s="553"/>
      <c r="D146" s="296">
        <v>0</v>
      </c>
      <c r="E146" s="296">
        <v>0</v>
      </c>
      <c r="F146" s="296">
        <v>0</v>
      </c>
      <c r="G146" s="296">
        <v>0</v>
      </c>
      <c r="H146" s="296">
        <v>0</v>
      </c>
      <c r="I146" s="296">
        <v>0</v>
      </c>
      <c r="J146" s="296">
        <v>0</v>
      </c>
      <c r="K146" s="296">
        <v>0</v>
      </c>
      <c r="L146" s="296">
        <v>0</v>
      </c>
      <c r="M146" s="296">
        <v>0</v>
      </c>
      <c r="N146" s="425">
        <v>300000</v>
      </c>
      <c r="O146" s="296">
        <v>0</v>
      </c>
      <c r="P146" s="450">
        <f>N146+O146</f>
        <v>300000</v>
      </c>
      <c r="Q146" s="451"/>
      <c r="R146" s="352"/>
      <c r="T146" s="18"/>
    </row>
    <row r="147" spans="1:19" ht="141" customHeight="1">
      <c r="A147" s="550" t="s">
        <v>465</v>
      </c>
      <c r="B147" s="459"/>
      <c r="C147" s="460"/>
      <c r="D147" s="425">
        <v>110000</v>
      </c>
      <c r="E147" s="425">
        <v>69039</v>
      </c>
      <c r="F147" s="426">
        <v>10674</v>
      </c>
      <c r="G147" s="425">
        <v>22772.15</v>
      </c>
      <c r="H147" s="425">
        <v>122000</v>
      </c>
      <c r="I147" s="425">
        <v>48296.2</v>
      </c>
      <c r="J147" s="425">
        <v>0</v>
      </c>
      <c r="K147" s="425">
        <v>0</v>
      </c>
      <c r="L147" s="425">
        <v>146963.35</v>
      </c>
      <c r="M147" s="425">
        <v>173150</v>
      </c>
      <c r="N147" s="425">
        <v>173150</v>
      </c>
      <c r="O147" s="425">
        <v>173152.8</v>
      </c>
      <c r="P147" s="450">
        <f>SUM(D147:O147)</f>
        <v>1049197.5</v>
      </c>
      <c r="Q147" s="451"/>
      <c r="R147" s="352"/>
      <c r="S147" s="18"/>
    </row>
    <row r="148" spans="1:18" ht="123" customHeight="1" hidden="1">
      <c r="A148" s="547" t="s">
        <v>181</v>
      </c>
      <c r="B148" s="548"/>
      <c r="C148" s="549"/>
      <c r="D148" s="296"/>
      <c r="E148" s="296"/>
      <c r="F148" s="296"/>
      <c r="G148" s="296"/>
      <c r="H148" s="296"/>
      <c r="I148" s="296"/>
      <c r="J148" s="296"/>
      <c r="K148" s="296"/>
      <c r="L148" s="296">
        <v>0</v>
      </c>
      <c r="M148" s="296"/>
      <c r="N148" s="296"/>
      <c r="O148" s="296"/>
      <c r="P148" s="450">
        <f aca="true" t="shared" si="10" ref="P148:P154">SUM(D148:O148)</f>
        <v>0</v>
      </c>
      <c r="Q148" s="451"/>
      <c r="R148" s="323"/>
    </row>
    <row r="149" spans="1:18" ht="36.75" customHeight="1" hidden="1">
      <c r="A149" s="544" t="s">
        <v>89</v>
      </c>
      <c r="B149" s="545"/>
      <c r="C149" s="546"/>
      <c r="D149" s="296"/>
      <c r="E149" s="296"/>
      <c r="F149" s="296"/>
      <c r="G149" s="296"/>
      <c r="H149" s="296"/>
      <c r="I149" s="296"/>
      <c r="J149" s="296"/>
      <c r="K149" s="296"/>
      <c r="L149" s="296"/>
      <c r="M149" s="296"/>
      <c r="N149" s="296"/>
      <c r="O149" s="296"/>
      <c r="P149" s="450">
        <f t="shared" si="10"/>
        <v>0</v>
      </c>
      <c r="Q149" s="451"/>
      <c r="R149" s="323"/>
    </row>
    <row r="150" spans="1:18" ht="117.75" customHeight="1" hidden="1">
      <c r="A150" s="547" t="s">
        <v>181</v>
      </c>
      <c r="B150" s="548"/>
      <c r="C150" s="549"/>
      <c r="D150" s="296"/>
      <c r="E150" s="296"/>
      <c r="F150" s="296"/>
      <c r="G150" s="296"/>
      <c r="H150" s="296"/>
      <c r="I150" s="296"/>
      <c r="J150" s="296"/>
      <c r="K150" s="296"/>
      <c r="L150" s="296"/>
      <c r="M150" s="296"/>
      <c r="N150" s="296"/>
      <c r="O150" s="296"/>
      <c r="P150" s="450">
        <f t="shared" si="10"/>
        <v>0</v>
      </c>
      <c r="Q150" s="451"/>
      <c r="R150" s="323"/>
    </row>
    <row r="151" spans="1:18" ht="69.75" customHeight="1" hidden="1">
      <c r="A151" s="458" t="s">
        <v>438</v>
      </c>
      <c r="B151" s="459"/>
      <c r="C151" s="460"/>
      <c r="D151" s="296"/>
      <c r="E151" s="296"/>
      <c r="F151" s="296"/>
      <c r="G151" s="296"/>
      <c r="H151" s="296"/>
      <c r="I151" s="296"/>
      <c r="J151" s="296">
        <v>0</v>
      </c>
      <c r="K151" s="296"/>
      <c r="L151" s="296"/>
      <c r="M151" s="296"/>
      <c r="N151" s="296"/>
      <c r="O151" s="296"/>
      <c r="P151" s="450">
        <f>SUM(D151:O151)</f>
        <v>0</v>
      </c>
      <c r="Q151" s="451"/>
      <c r="R151" s="323"/>
    </row>
    <row r="152" spans="1:18" ht="53.25" customHeight="1" hidden="1">
      <c r="A152" s="478" t="s">
        <v>135</v>
      </c>
      <c r="B152" s="459"/>
      <c r="C152" s="460"/>
      <c r="D152" s="296"/>
      <c r="E152" s="296"/>
      <c r="F152" s="296"/>
      <c r="G152" s="296"/>
      <c r="H152" s="296"/>
      <c r="I152" s="296"/>
      <c r="J152" s="296"/>
      <c r="K152" s="296"/>
      <c r="L152" s="296"/>
      <c r="M152" s="296"/>
      <c r="N152" s="296"/>
      <c r="O152" s="296"/>
      <c r="P152" s="450">
        <f>SUM(D152:O152)</f>
        <v>0</v>
      </c>
      <c r="Q152" s="451"/>
      <c r="R152" s="323"/>
    </row>
    <row r="153" spans="1:18" ht="41.25" customHeight="1" hidden="1">
      <c r="A153" s="544" t="s">
        <v>90</v>
      </c>
      <c r="B153" s="545"/>
      <c r="C153" s="546"/>
      <c r="D153" s="296">
        <v>0</v>
      </c>
      <c r="E153" s="296">
        <v>0</v>
      </c>
      <c r="F153" s="296">
        <v>0</v>
      </c>
      <c r="G153" s="296">
        <v>0</v>
      </c>
      <c r="H153" s="296">
        <v>0</v>
      </c>
      <c r="I153" s="296">
        <v>0</v>
      </c>
      <c r="J153" s="296"/>
      <c r="K153" s="296"/>
      <c r="L153" s="296">
        <v>0</v>
      </c>
      <c r="M153" s="296">
        <v>0</v>
      </c>
      <c r="N153" s="296">
        <v>0</v>
      </c>
      <c r="O153" s="296">
        <v>0</v>
      </c>
      <c r="P153" s="450">
        <f t="shared" si="10"/>
        <v>0</v>
      </c>
      <c r="Q153" s="451"/>
      <c r="R153" s="323"/>
    </row>
    <row r="154" spans="1:18" ht="49.5" customHeight="1" hidden="1">
      <c r="A154" s="544" t="s">
        <v>91</v>
      </c>
      <c r="B154" s="545"/>
      <c r="C154" s="546"/>
      <c r="D154" s="296"/>
      <c r="E154" s="296"/>
      <c r="F154" s="296"/>
      <c r="G154" s="296"/>
      <c r="H154" s="296"/>
      <c r="I154" s="296"/>
      <c r="J154" s="296"/>
      <c r="K154" s="296"/>
      <c r="L154" s="296"/>
      <c r="M154" s="296"/>
      <c r="N154" s="296"/>
      <c r="O154" s="296"/>
      <c r="P154" s="450">
        <f t="shared" si="10"/>
        <v>0</v>
      </c>
      <c r="Q154" s="451"/>
      <c r="R154" s="323"/>
    </row>
    <row r="155" spans="1:18" ht="44.25" customHeight="1" hidden="1">
      <c r="A155" s="478" t="s">
        <v>136</v>
      </c>
      <c r="B155" s="459"/>
      <c r="C155" s="460"/>
      <c r="D155" s="296">
        <v>0</v>
      </c>
      <c r="E155" s="296">
        <v>0</v>
      </c>
      <c r="F155" s="296">
        <v>0</v>
      </c>
      <c r="G155" s="296">
        <v>0</v>
      </c>
      <c r="H155" s="296">
        <v>0</v>
      </c>
      <c r="I155" s="319">
        <v>0</v>
      </c>
      <c r="J155" s="296"/>
      <c r="K155" s="296"/>
      <c r="L155" s="296">
        <v>0</v>
      </c>
      <c r="M155" s="296">
        <v>0</v>
      </c>
      <c r="N155" s="296">
        <v>0</v>
      </c>
      <c r="O155" s="296">
        <v>0</v>
      </c>
      <c r="P155" s="450">
        <f aca="true" t="shared" si="11" ref="P155:P160">SUM(D155:O155)</f>
        <v>0</v>
      </c>
      <c r="Q155" s="451"/>
      <c r="R155" s="323"/>
    </row>
    <row r="156" spans="1:18" ht="125.25" customHeight="1">
      <c r="A156" s="458" t="s">
        <v>466</v>
      </c>
      <c r="B156" s="459"/>
      <c r="C156" s="460"/>
      <c r="D156" s="296">
        <v>0</v>
      </c>
      <c r="E156" s="296">
        <v>0</v>
      </c>
      <c r="F156" s="296">
        <v>0</v>
      </c>
      <c r="G156" s="296">
        <v>0</v>
      </c>
      <c r="H156" s="296">
        <v>0</v>
      </c>
      <c r="I156" s="296">
        <v>0</v>
      </c>
      <c r="J156" s="296">
        <v>0</v>
      </c>
      <c r="K156" s="296">
        <v>0</v>
      </c>
      <c r="L156" s="296">
        <v>0</v>
      </c>
      <c r="M156" s="425">
        <v>2289360</v>
      </c>
      <c r="N156" s="296">
        <v>0</v>
      </c>
      <c r="O156" s="296">
        <v>0</v>
      </c>
      <c r="P156" s="450">
        <f t="shared" si="11"/>
        <v>2289360</v>
      </c>
      <c r="Q156" s="451"/>
      <c r="R156" s="323"/>
    </row>
    <row r="157" spans="1:18" ht="159" customHeight="1">
      <c r="A157" s="447" t="s">
        <v>474</v>
      </c>
      <c r="B157" s="448"/>
      <c r="C157" s="449"/>
      <c r="D157" s="425">
        <v>2520</v>
      </c>
      <c r="E157" s="425">
        <v>2520</v>
      </c>
      <c r="F157" s="425">
        <v>2520</v>
      </c>
      <c r="G157" s="425">
        <v>2520</v>
      </c>
      <c r="H157" s="425">
        <v>2520</v>
      </c>
      <c r="I157" s="425">
        <v>2520</v>
      </c>
      <c r="J157" s="425">
        <v>2520</v>
      </c>
      <c r="K157" s="425">
        <v>2520</v>
      </c>
      <c r="L157" s="425">
        <v>1309</v>
      </c>
      <c r="M157" s="296">
        <v>0</v>
      </c>
      <c r="N157" s="296">
        <v>0</v>
      </c>
      <c r="O157" s="296">
        <v>0</v>
      </c>
      <c r="P157" s="450">
        <f t="shared" si="11"/>
        <v>21469</v>
      </c>
      <c r="Q157" s="451"/>
      <c r="R157" s="323"/>
    </row>
    <row r="158" spans="1:18" ht="55.5" customHeight="1">
      <c r="A158" s="447" t="s">
        <v>475</v>
      </c>
      <c r="B158" s="448"/>
      <c r="C158" s="449"/>
      <c r="D158" s="296">
        <v>0</v>
      </c>
      <c r="E158" s="296">
        <v>0</v>
      </c>
      <c r="F158" s="296">
        <v>0</v>
      </c>
      <c r="G158" s="296">
        <v>0</v>
      </c>
      <c r="H158" s="296">
        <v>53679.96</v>
      </c>
      <c r="I158" s="296">
        <v>0</v>
      </c>
      <c r="J158" s="296">
        <v>63758.24</v>
      </c>
      <c r="K158" s="296">
        <v>0</v>
      </c>
      <c r="L158" s="296">
        <v>0</v>
      </c>
      <c r="M158" s="296">
        <v>0</v>
      </c>
      <c r="N158" s="296">
        <v>0</v>
      </c>
      <c r="O158" s="296">
        <v>0</v>
      </c>
      <c r="P158" s="450">
        <f t="shared" si="11"/>
        <v>117438.2</v>
      </c>
      <c r="Q158" s="451"/>
      <c r="R158" s="323"/>
    </row>
    <row r="159" spans="1:17" ht="42.75" customHeight="1" hidden="1">
      <c r="A159" s="537" t="s">
        <v>180</v>
      </c>
      <c r="B159" s="538"/>
      <c r="C159" s="539"/>
      <c r="D159" s="296">
        <v>0</v>
      </c>
      <c r="E159" s="296">
        <v>0</v>
      </c>
      <c r="F159" s="296">
        <v>0</v>
      </c>
      <c r="G159" s="296">
        <v>0</v>
      </c>
      <c r="H159" s="296">
        <v>0</v>
      </c>
      <c r="I159" s="296">
        <v>0</v>
      </c>
      <c r="J159" s="296">
        <v>0</v>
      </c>
      <c r="K159" s="296"/>
      <c r="L159" s="296"/>
      <c r="M159" s="296"/>
      <c r="N159" s="296"/>
      <c r="O159" s="296"/>
      <c r="P159" s="450">
        <f t="shared" si="11"/>
        <v>0</v>
      </c>
      <c r="Q159" s="451"/>
    </row>
    <row r="160" spans="1:17" ht="140.25" customHeight="1" hidden="1">
      <c r="A160" s="550" t="s">
        <v>465</v>
      </c>
      <c r="B160" s="459"/>
      <c r="C160" s="460"/>
      <c r="D160" s="296">
        <v>0</v>
      </c>
      <c r="E160" s="296">
        <v>0</v>
      </c>
      <c r="F160" s="296">
        <v>0</v>
      </c>
      <c r="G160" s="296">
        <v>0</v>
      </c>
      <c r="H160" s="296">
        <v>0</v>
      </c>
      <c r="I160" s="296">
        <v>0</v>
      </c>
      <c r="J160" s="296">
        <v>0</v>
      </c>
      <c r="K160" s="296"/>
      <c r="L160" s="296"/>
      <c r="M160" s="296"/>
      <c r="N160" s="296"/>
      <c r="O160" s="296"/>
      <c r="P160" s="450">
        <f t="shared" si="11"/>
        <v>0</v>
      </c>
      <c r="Q160" s="451"/>
    </row>
    <row r="161" spans="1:17" ht="27" customHeight="1" hidden="1">
      <c r="A161" s="607" t="s">
        <v>368</v>
      </c>
      <c r="B161" s="608"/>
      <c r="C161" s="608"/>
      <c r="D161" s="608"/>
      <c r="E161" s="608"/>
      <c r="F161" s="608"/>
      <c r="G161" s="608"/>
      <c r="H161" s="608"/>
      <c r="I161" s="608"/>
      <c r="J161" s="608"/>
      <c r="K161" s="608"/>
      <c r="L161" s="608"/>
      <c r="M161" s="608"/>
      <c r="N161" s="608"/>
      <c r="O161" s="608"/>
      <c r="P161" s="608"/>
      <c r="Q161" s="609"/>
    </row>
    <row r="162" spans="1:17" ht="79.5" customHeight="1" hidden="1">
      <c r="A162" s="537" t="s">
        <v>367</v>
      </c>
      <c r="B162" s="540"/>
      <c r="C162" s="541"/>
      <c r="D162" s="8"/>
      <c r="E162" s="8"/>
      <c r="F162" s="15">
        <v>0</v>
      </c>
      <c r="G162" s="8"/>
      <c r="H162" s="8"/>
      <c r="I162" s="8"/>
      <c r="J162" s="8"/>
      <c r="K162" s="8"/>
      <c r="L162" s="8"/>
      <c r="M162" s="8"/>
      <c r="N162" s="8"/>
      <c r="O162" s="8"/>
      <c r="P162" s="604">
        <f>SUM(D162:O162)</f>
        <v>0</v>
      </c>
      <c r="Q162" s="605"/>
    </row>
    <row r="163" spans="1:17" ht="31.5" customHeight="1" hidden="1">
      <c r="A163" s="607"/>
      <c r="B163" s="608"/>
      <c r="C163" s="608"/>
      <c r="D163" s="608"/>
      <c r="E163" s="608"/>
      <c r="F163" s="608"/>
      <c r="G163" s="608"/>
      <c r="H163" s="608"/>
      <c r="I163" s="608"/>
      <c r="J163" s="608"/>
      <c r="K163" s="608"/>
      <c r="L163" s="608"/>
      <c r="M163" s="608"/>
      <c r="N163" s="608"/>
      <c r="O163" s="608"/>
      <c r="P163" s="608"/>
      <c r="Q163" s="609"/>
    </row>
    <row r="164" spans="1:17" ht="88.5" customHeight="1" hidden="1">
      <c r="A164" s="537" t="s">
        <v>370</v>
      </c>
      <c r="B164" s="538"/>
      <c r="C164" s="539"/>
      <c r="D164" s="318"/>
      <c r="E164" s="318"/>
      <c r="F164" s="296"/>
      <c r="G164" s="318"/>
      <c r="H164" s="318"/>
      <c r="I164" s="318"/>
      <c r="J164" s="318"/>
      <c r="K164" s="318"/>
      <c r="L164" s="296">
        <v>0</v>
      </c>
      <c r="M164" s="296"/>
      <c r="N164" s="318"/>
      <c r="O164" s="318"/>
      <c r="P164" s="450">
        <f>SUM(D164:O164)</f>
        <v>0</v>
      </c>
      <c r="Q164" s="451"/>
    </row>
    <row r="165" spans="1:17" ht="36.75" customHeight="1" hidden="1">
      <c r="A165" s="537" t="s">
        <v>371</v>
      </c>
      <c r="B165" s="538"/>
      <c r="C165" s="539"/>
      <c r="D165" s="318"/>
      <c r="E165" s="318"/>
      <c r="F165" s="296">
        <v>0</v>
      </c>
      <c r="G165" s="318"/>
      <c r="H165" s="318"/>
      <c r="I165" s="318"/>
      <c r="J165" s="318"/>
      <c r="K165" s="318"/>
      <c r="L165" s="318"/>
      <c r="M165" s="318"/>
      <c r="N165" s="318"/>
      <c r="O165" s="318"/>
      <c r="P165" s="450">
        <f>SUM(D165:O165)</f>
        <v>0</v>
      </c>
      <c r="Q165" s="451"/>
    </row>
    <row r="166" spans="1:17" ht="54" customHeight="1" hidden="1">
      <c r="A166" s="537" t="s">
        <v>438</v>
      </c>
      <c r="B166" s="538"/>
      <c r="C166" s="539"/>
      <c r="D166" s="318"/>
      <c r="E166" s="318"/>
      <c r="F166" s="296"/>
      <c r="G166" s="318"/>
      <c r="H166" s="318"/>
      <c r="I166" s="318"/>
      <c r="J166" s="296">
        <v>0</v>
      </c>
      <c r="K166" s="318"/>
      <c r="L166" s="318"/>
      <c r="M166" s="318"/>
      <c r="N166" s="318"/>
      <c r="O166" s="318"/>
      <c r="P166" s="450">
        <f>SUM(D166:O166)</f>
        <v>0</v>
      </c>
      <c r="Q166" s="451"/>
    </row>
    <row r="167" spans="1:17" ht="103.5" customHeight="1" hidden="1">
      <c r="A167" s="537" t="s">
        <v>373</v>
      </c>
      <c r="B167" s="538"/>
      <c r="C167" s="539"/>
      <c r="D167" s="318"/>
      <c r="E167" s="318"/>
      <c r="F167" s="296">
        <v>0</v>
      </c>
      <c r="G167" s="318"/>
      <c r="H167" s="318"/>
      <c r="I167" s="318"/>
      <c r="J167" s="318"/>
      <c r="K167" s="318"/>
      <c r="L167" s="318"/>
      <c r="M167" s="318"/>
      <c r="N167" s="318"/>
      <c r="O167" s="318"/>
      <c r="P167" s="450">
        <f>SUM(D167:O167)</f>
        <v>0</v>
      </c>
      <c r="Q167" s="451"/>
    </row>
    <row r="168" spans="1:17" ht="79.5" customHeight="1" hidden="1">
      <c r="A168" s="537"/>
      <c r="B168" s="538"/>
      <c r="C168" s="539"/>
      <c r="D168" s="8"/>
      <c r="E168" s="8"/>
      <c r="F168" s="15"/>
      <c r="G168" s="8"/>
      <c r="H168" s="8"/>
      <c r="I168" s="8"/>
      <c r="J168" s="8"/>
      <c r="K168" s="8"/>
      <c r="L168" s="8"/>
      <c r="M168" s="8"/>
      <c r="N168" s="8"/>
      <c r="O168" s="8"/>
      <c r="P168" s="604">
        <f>SUM(D168:O168)</f>
        <v>0</v>
      </c>
      <c r="Q168" s="605"/>
    </row>
    <row r="169" spans="1:17" ht="15" hidden="1">
      <c r="A169" s="542" t="s">
        <v>36</v>
      </c>
      <c r="B169" s="540"/>
      <c r="C169" s="541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511"/>
      <c r="Q169" s="512"/>
    </row>
    <row r="170" spans="1:17" ht="28.5" customHeight="1" hidden="1">
      <c r="A170" s="542" t="s">
        <v>50</v>
      </c>
      <c r="B170" s="540"/>
      <c r="C170" s="541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511"/>
      <c r="Q170" s="512"/>
    </row>
    <row r="171" spans="1:18" ht="15.75" hidden="1" thickBot="1">
      <c r="A171" s="323"/>
      <c r="B171" s="323"/>
      <c r="C171" s="323"/>
      <c r="D171" s="323"/>
      <c r="E171" s="323"/>
      <c r="F171" s="323"/>
      <c r="G171" s="323"/>
      <c r="H171" s="323"/>
      <c r="I171" s="323"/>
      <c r="J171" s="323"/>
      <c r="K171" s="323"/>
      <c r="L171" s="323"/>
      <c r="M171" s="323"/>
      <c r="N171" s="323"/>
      <c r="O171" s="323"/>
      <c r="P171" s="323"/>
      <c r="Q171" s="323"/>
      <c r="R171" s="323"/>
    </row>
    <row r="172" spans="1:18" ht="15" hidden="1">
      <c r="A172" s="348" t="s">
        <v>64</v>
      </c>
      <c r="B172" s="349" t="s">
        <v>151</v>
      </c>
      <c r="C172" s="323"/>
      <c r="D172" s="323"/>
      <c r="E172" s="323"/>
      <c r="F172" s="323"/>
      <c r="G172" s="323"/>
      <c r="H172" s="323"/>
      <c r="I172" s="323"/>
      <c r="J172" s="323"/>
      <c r="K172" s="323"/>
      <c r="L172" s="323"/>
      <c r="M172" s="323"/>
      <c r="N172" s="323"/>
      <c r="O172" s="323"/>
      <c r="P172" s="323"/>
      <c r="Q172" s="323"/>
      <c r="R172" s="323"/>
    </row>
    <row r="173" spans="1:18" ht="15">
      <c r="A173" s="323"/>
      <c r="B173" s="323"/>
      <c r="C173" s="323"/>
      <c r="D173" s="606"/>
      <c r="E173" s="470"/>
      <c r="F173" s="470"/>
      <c r="G173" s="606"/>
      <c r="H173" s="470"/>
      <c r="I173" s="470"/>
      <c r="J173" s="606"/>
      <c r="K173" s="470"/>
      <c r="L173" s="470"/>
      <c r="M173" s="606"/>
      <c r="N173" s="606"/>
      <c r="O173" s="606"/>
      <c r="P173" s="323"/>
      <c r="Q173" s="323"/>
      <c r="R173" s="323"/>
    </row>
    <row r="174" spans="1:18" ht="29.25" customHeight="1" hidden="1">
      <c r="A174" s="454" t="s">
        <v>40</v>
      </c>
      <c r="B174" s="454"/>
      <c r="C174" s="454"/>
      <c r="D174" s="454"/>
      <c r="E174" s="454"/>
      <c r="F174" s="454"/>
      <c r="G174" s="454"/>
      <c r="H174" s="454"/>
      <c r="I174" s="454"/>
      <c r="J174" s="454"/>
      <c r="K174" s="454"/>
      <c r="L174" s="454"/>
      <c r="M174" s="454"/>
      <c r="N174" s="454"/>
      <c r="O174" s="454"/>
      <c r="P174" s="454"/>
      <c r="Q174" s="454"/>
      <c r="R174" s="454"/>
    </row>
    <row r="175" spans="1:18" ht="15">
      <c r="A175" s="323"/>
      <c r="B175" s="323"/>
      <c r="C175" s="323"/>
      <c r="D175" s="323"/>
      <c r="E175" s="323"/>
      <c r="F175" s="323"/>
      <c r="G175" s="323"/>
      <c r="H175" s="323"/>
      <c r="I175" s="323"/>
      <c r="J175" s="323"/>
      <c r="K175" s="323"/>
      <c r="L175" s="323"/>
      <c r="M175" s="323"/>
      <c r="N175" s="323"/>
      <c r="O175" s="323"/>
      <c r="P175" s="323"/>
      <c r="Q175" s="323"/>
      <c r="R175" s="323"/>
    </row>
    <row r="176" spans="1:18" ht="15" hidden="1">
      <c r="A176" s="323"/>
      <c r="B176" s="323"/>
      <c r="C176" s="323"/>
      <c r="D176" s="323"/>
      <c r="E176" s="323"/>
      <c r="F176" s="323"/>
      <c r="G176" s="323"/>
      <c r="H176" s="323"/>
      <c r="I176" s="323"/>
      <c r="J176" s="323"/>
      <c r="K176" s="323"/>
      <c r="L176" s="323"/>
      <c r="M176" s="323"/>
      <c r="N176" s="323"/>
      <c r="O176" s="323"/>
      <c r="P176" s="323"/>
      <c r="Q176" s="323"/>
      <c r="R176" s="323"/>
    </row>
    <row r="177" spans="1:18" ht="15">
      <c r="A177" s="323"/>
      <c r="B177" s="323" t="s">
        <v>51</v>
      </c>
      <c r="C177" s="323"/>
      <c r="D177" s="323"/>
      <c r="E177" s="323"/>
      <c r="F177" s="323"/>
      <c r="G177" s="323"/>
      <c r="H177" s="323"/>
      <c r="I177" s="323"/>
      <c r="J177" s="323"/>
      <c r="K177" s="323"/>
      <c r="L177" s="323"/>
      <c r="M177" s="323"/>
      <c r="N177" s="323"/>
      <c r="O177" s="323"/>
      <c r="P177" s="323"/>
      <c r="Q177" s="323"/>
      <c r="R177" s="323"/>
    </row>
    <row r="178" spans="1:18" ht="15">
      <c r="A178" s="323"/>
      <c r="B178" s="323"/>
      <c r="C178" s="323"/>
      <c r="D178" s="323"/>
      <c r="E178" s="323"/>
      <c r="F178" s="323"/>
      <c r="G178" s="323"/>
      <c r="H178" s="323"/>
      <c r="I178" s="323"/>
      <c r="J178" s="323"/>
      <c r="K178" s="323"/>
      <c r="L178" s="323"/>
      <c r="M178" s="323"/>
      <c r="N178" s="323"/>
      <c r="O178" s="323"/>
      <c r="P178" s="323"/>
      <c r="Q178" s="323"/>
      <c r="R178" s="323"/>
    </row>
    <row r="179" spans="2:3" ht="15">
      <c r="B179" s="1" t="s">
        <v>52</v>
      </c>
      <c r="C179" s="323"/>
    </row>
    <row r="180" spans="1:18" ht="42.75" customHeight="1">
      <c r="A180" s="6" t="s">
        <v>53</v>
      </c>
      <c r="B180" s="519" t="s">
        <v>54</v>
      </c>
      <c r="C180" s="519"/>
      <c r="D180" s="543" t="s">
        <v>66</v>
      </c>
      <c r="E180" s="517"/>
      <c r="F180" s="519" t="s">
        <v>55</v>
      </c>
      <c r="G180" s="519"/>
      <c r="H180" s="519"/>
      <c r="I180" s="519"/>
      <c r="J180" s="519"/>
      <c r="K180" s="519"/>
      <c r="L180" s="519"/>
      <c r="M180" s="519"/>
      <c r="N180" s="517" t="s">
        <v>56</v>
      </c>
      <c r="O180" s="517"/>
      <c r="P180" s="517"/>
      <c r="Q180" s="517"/>
      <c r="R180" s="518"/>
    </row>
    <row r="181" spans="1:18" ht="27.75" customHeight="1">
      <c r="A181" s="528" t="s">
        <v>57</v>
      </c>
      <c r="B181" s="529"/>
      <c r="C181" s="529"/>
      <c r="D181" s="529"/>
      <c r="E181" s="530"/>
      <c r="F181" s="531" t="s">
        <v>58</v>
      </c>
      <c r="G181" s="532"/>
      <c r="H181" s="531" t="s">
        <v>59</v>
      </c>
      <c r="I181" s="532"/>
      <c r="J181" s="531" t="s">
        <v>60</v>
      </c>
      <c r="K181" s="532"/>
      <c r="L181" s="531" t="s">
        <v>61</v>
      </c>
      <c r="M181" s="532"/>
      <c r="N181" s="531" t="s">
        <v>58</v>
      </c>
      <c r="O181" s="532"/>
      <c r="P181" s="5" t="s">
        <v>59</v>
      </c>
      <c r="Q181" s="5" t="s">
        <v>60</v>
      </c>
      <c r="R181" s="9" t="s">
        <v>61</v>
      </c>
    </row>
    <row r="182" spans="1:18" ht="45.75" customHeight="1">
      <c r="A182" s="11">
        <v>1</v>
      </c>
      <c r="B182" s="535" t="s">
        <v>120</v>
      </c>
      <c r="C182" s="536"/>
      <c r="D182" s="519"/>
      <c r="E182" s="519"/>
      <c r="F182" s="520" t="s">
        <v>121</v>
      </c>
      <c r="G182" s="521"/>
      <c r="H182" s="522" t="s">
        <v>121</v>
      </c>
      <c r="I182" s="523"/>
      <c r="J182" s="522" t="s">
        <v>121</v>
      </c>
      <c r="K182" s="523"/>
      <c r="L182" s="522" t="s">
        <v>121</v>
      </c>
      <c r="M182" s="523"/>
      <c r="N182" s="517"/>
      <c r="O182" s="518"/>
      <c r="P182" s="5"/>
      <c r="Q182" s="5"/>
      <c r="R182" s="9"/>
    </row>
    <row r="183" spans="1:18" ht="48.75" customHeight="1">
      <c r="A183" s="4">
        <v>2</v>
      </c>
      <c r="B183" s="505" t="s">
        <v>124</v>
      </c>
      <c r="C183" s="505"/>
      <c r="D183" s="509"/>
      <c r="E183" s="510"/>
      <c r="F183" s="533" t="s">
        <v>125</v>
      </c>
      <c r="G183" s="534"/>
      <c r="H183" s="525" t="s">
        <v>125</v>
      </c>
      <c r="I183" s="526"/>
      <c r="J183" s="525" t="s">
        <v>125</v>
      </c>
      <c r="K183" s="526"/>
      <c r="L183" s="525" t="s">
        <v>125</v>
      </c>
      <c r="M183" s="526"/>
      <c r="N183" s="527"/>
      <c r="O183" s="527"/>
      <c r="P183" s="4"/>
      <c r="Q183" s="4"/>
      <c r="R183" s="12"/>
    </row>
    <row r="184" spans="1:18" ht="71.25" customHeight="1">
      <c r="A184" s="4">
        <v>3</v>
      </c>
      <c r="B184" s="505" t="s">
        <v>126</v>
      </c>
      <c r="C184" s="505"/>
      <c r="D184" s="511"/>
      <c r="E184" s="512"/>
      <c r="F184" s="513" t="s">
        <v>119</v>
      </c>
      <c r="G184" s="514"/>
      <c r="H184" s="515" t="s">
        <v>119</v>
      </c>
      <c r="I184" s="516"/>
      <c r="J184" s="515" t="s">
        <v>119</v>
      </c>
      <c r="K184" s="516"/>
      <c r="L184" s="515" t="s">
        <v>119</v>
      </c>
      <c r="M184" s="516"/>
      <c r="N184" s="524"/>
      <c r="O184" s="524"/>
      <c r="P184" s="10"/>
      <c r="Q184" s="10"/>
      <c r="R184" s="3"/>
    </row>
    <row r="185" spans="1:18" ht="48" customHeight="1">
      <c r="A185" s="3">
        <v>4</v>
      </c>
      <c r="B185" s="505" t="s">
        <v>127</v>
      </c>
      <c r="C185" s="505"/>
      <c r="D185" s="506"/>
      <c r="E185" s="506"/>
      <c r="F185" s="507" t="s">
        <v>119</v>
      </c>
      <c r="G185" s="507"/>
      <c r="H185" s="508" t="s">
        <v>119</v>
      </c>
      <c r="I185" s="508"/>
      <c r="J185" s="508" t="s">
        <v>119</v>
      </c>
      <c r="K185" s="508"/>
      <c r="L185" s="508" t="s">
        <v>119</v>
      </c>
      <c r="M185" s="508"/>
      <c r="N185" s="506"/>
      <c r="O185" s="506"/>
      <c r="P185" s="3"/>
      <c r="Q185" s="3"/>
      <c r="R185" s="3"/>
    </row>
    <row r="186" spans="1:18" ht="37.5" customHeight="1">
      <c r="A186" s="3">
        <v>5</v>
      </c>
      <c r="B186" s="505" t="s">
        <v>128</v>
      </c>
      <c r="C186" s="505"/>
      <c r="D186" s="499"/>
      <c r="E186" s="499"/>
      <c r="F186" s="504" t="s">
        <v>129</v>
      </c>
      <c r="G186" s="504"/>
      <c r="H186" s="499" t="s">
        <v>129</v>
      </c>
      <c r="I186" s="499"/>
      <c r="J186" s="499" t="s">
        <v>129</v>
      </c>
      <c r="K186" s="499"/>
      <c r="L186" s="499" t="s">
        <v>129</v>
      </c>
      <c r="M186" s="499"/>
      <c r="N186" s="499"/>
      <c r="O186" s="499"/>
      <c r="P186" s="3"/>
      <c r="Q186" s="3"/>
      <c r="R186" s="3"/>
    </row>
    <row r="187" spans="1:18" ht="50.25" customHeight="1">
      <c r="A187" s="3">
        <v>6</v>
      </c>
      <c r="B187" s="500" t="s">
        <v>130</v>
      </c>
      <c r="C187" s="501"/>
      <c r="D187" s="499"/>
      <c r="E187" s="499"/>
      <c r="F187" s="504" t="s">
        <v>131</v>
      </c>
      <c r="G187" s="504"/>
      <c r="H187" s="499" t="s">
        <v>131</v>
      </c>
      <c r="I187" s="499"/>
      <c r="J187" s="499" t="s">
        <v>131</v>
      </c>
      <c r="K187" s="499"/>
      <c r="L187" s="499" t="s">
        <v>131</v>
      </c>
      <c r="M187" s="499"/>
      <c r="N187" s="499"/>
      <c r="O187" s="499"/>
      <c r="P187" s="3"/>
      <c r="Q187" s="3"/>
      <c r="R187" s="3"/>
    </row>
    <row r="188" spans="1:18" ht="57" customHeight="1">
      <c r="A188" s="3">
        <v>7</v>
      </c>
      <c r="B188" s="500" t="s">
        <v>132</v>
      </c>
      <c r="C188" s="501"/>
      <c r="D188" s="499"/>
      <c r="E188" s="499"/>
      <c r="F188" s="502" t="s">
        <v>133</v>
      </c>
      <c r="G188" s="503"/>
      <c r="H188" s="502" t="s">
        <v>133</v>
      </c>
      <c r="I188" s="503"/>
      <c r="J188" s="502" t="s">
        <v>133</v>
      </c>
      <c r="K188" s="503"/>
      <c r="L188" s="502" t="s">
        <v>133</v>
      </c>
      <c r="M188" s="503"/>
      <c r="N188" s="499"/>
      <c r="O188" s="499"/>
      <c r="P188" s="3"/>
      <c r="Q188" s="3"/>
      <c r="R188" s="3"/>
    </row>
    <row r="189" spans="1:18" ht="15">
      <c r="A189" s="323"/>
      <c r="B189" s="323"/>
      <c r="C189" s="323"/>
      <c r="D189" s="323"/>
      <c r="E189" s="323"/>
      <c r="F189" s="323"/>
      <c r="G189" s="323"/>
      <c r="H189" s="323"/>
      <c r="I189" s="323"/>
      <c r="J189" s="323"/>
      <c r="K189" s="323"/>
      <c r="L189" s="323"/>
      <c r="M189" s="323"/>
      <c r="N189" s="323"/>
      <c r="O189" s="323"/>
      <c r="P189" s="323"/>
      <c r="Q189" s="323"/>
      <c r="R189" s="323"/>
    </row>
    <row r="190" spans="1:18" ht="15">
      <c r="A190" s="375"/>
      <c r="B190" s="323"/>
      <c r="C190" s="323"/>
      <c r="D190" s="323"/>
      <c r="E190" s="323"/>
      <c r="F190" s="323"/>
      <c r="G190" s="323"/>
      <c r="H190" s="323"/>
      <c r="I190" s="323"/>
      <c r="J190" s="323"/>
      <c r="K190" s="323"/>
      <c r="L190" s="323"/>
      <c r="M190" s="323"/>
      <c r="N190" s="323"/>
      <c r="O190" s="323"/>
      <c r="P190" s="323"/>
      <c r="Q190" s="323"/>
      <c r="R190" s="323"/>
    </row>
    <row r="191" spans="1:18" ht="30.75" customHeight="1">
      <c r="A191" s="454" t="s">
        <v>40</v>
      </c>
      <c r="B191" s="454"/>
      <c r="C191" s="454"/>
      <c r="D191" s="454"/>
      <c r="E191" s="454"/>
      <c r="F191" s="454"/>
      <c r="G191" s="454"/>
      <c r="H191" s="454"/>
      <c r="I191" s="454"/>
      <c r="J191" s="454"/>
      <c r="K191" s="454"/>
      <c r="L191" s="454"/>
      <c r="M191" s="454"/>
      <c r="N191" s="454"/>
      <c r="O191" s="454"/>
      <c r="P191" s="454"/>
      <c r="Q191" s="454"/>
      <c r="R191" s="454"/>
    </row>
    <row r="192" spans="1:18" ht="15">
      <c r="A192" s="323"/>
      <c r="B192" s="323"/>
      <c r="C192" s="323"/>
      <c r="D192" s="323"/>
      <c r="E192" s="323"/>
      <c r="F192" s="323"/>
      <c r="G192" s="323"/>
      <c r="H192" s="323"/>
      <c r="I192" s="323"/>
      <c r="J192" s="323"/>
      <c r="K192" s="323"/>
      <c r="L192" s="323"/>
      <c r="M192" s="323"/>
      <c r="N192" s="323"/>
      <c r="O192" s="323"/>
      <c r="P192" s="323"/>
      <c r="Q192" s="323"/>
      <c r="R192" s="323"/>
    </row>
    <row r="193" spans="1:18" ht="15">
      <c r="A193" s="323"/>
      <c r="B193" s="323"/>
      <c r="C193" s="323"/>
      <c r="D193" s="323"/>
      <c r="E193" s="323"/>
      <c r="F193" s="323"/>
      <c r="G193" s="323"/>
      <c r="H193" s="323"/>
      <c r="I193" s="323"/>
      <c r="J193" s="323"/>
      <c r="K193" s="323"/>
      <c r="L193" s="323"/>
      <c r="M193" s="323"/>
      <c r="N193" s="323"/>
      <c r="O193" s="323"/>
      <c r="P193" s="323"/>
      <c r="Q193" s="323"/>
      <c r="R193" s="323"/>
    </row>
    <row r="194" spans="1:18" ht="15">
      <c r="A194" s="323"/>
      <c r="B194" s="323" t="s">
        <v>62</v>
      </c>
      <c r="C194" s="323"/>
      <c r="D194" s="323"/>
      <c r="E194" s="323"/>
      <c r="F194" s="323"/>
      <c r="G194" s="323"/>
      <c r="H194" s="323"/>
      <c r="I194" s="323"/>
      <c r="J194" s="323"/>
      <c r="K194" s="323"/>
      <c r="L194" s="323"/>
      <c r="M194" s="323"/>
      <c r="N194" s="323"/>
      <c r="O194" s="323"/>
      <c r="P194" s="323"/>
      <c r="Q194" s="323"/>
      <c r="R194" s="323"/>
    </row>
    <row r="195" spans="1:18" ht="15">
      <c r="A195" s="323"/>
      <c r="B195" s="323"/>
      <c r="C195" s="323"/>
      <c r="D195" s="323"/>
      <c r="E195" s="323"/>
      <c r="F195" s="323"/>
      <c r="G195" s="323"/>
      <c r="H195" s="323"/>
      <c r="I195" s="323"/>
      <c r="J195" s="323"/>
      <c r="K195" s="323"/>
      <c r="L195" s="323"/>
      <c r="M195" s="323"/>
      <c r="N195" s="323"/>
      <c r="O195" s="323"/>
      <c r="P195" s="323"/>
      <c r="Q195" s="323"/>
      <c r="R195" s="323"/>
    </row>
    <row r="196" spans="1:18" ht="26.25" customHeight="1">
      <c r="A196" s="376" t="s">
        <v>53</v>
      </c>
      <c r="B196" s="495" t="s">
        <v>54</v>
      </c>
      <c r="C196" s="496"/>
      <c r="D196" s="497"/>
      <c r="E196" s="495" t="s">
        <v>66</v>
      </c>
      <c r="F196" s="496"/>
      <c r="G196" s="496"/>
      <c r="H196" s="497"/>
      <c r="I196" s="498" t="s">
        <v>55</v>
      </c>
      <c r="J196" s="498"/>
      <c r="K196" s="498"/>
      <c r="L196" s="498"/>
      <c r="M196" s="498"/>
      <c r="N196" s="498" t="s">
        <v>56</v>
      </c>
      <c r="O196" s="498"/>
      <c r="P196" s="498"/>
      <c r="Q196" s="498"/>
      <c r="R196" s="375"/>
    </row>
    <row r="197" spans="1:18" ht="36.75" customHeight="1">
      <c r="A197" s="377">
        <v>1</v>
      </c>
      <c r="B197" s="478" t="s">
        <v>114</v>
      </c>
      <c r="C197" s="459"/>
      <c r="D197" s="460"/>
      <c r="E197" s="471"/>
      <c r="F197" s="472"/>
      <c r="G197" s="472"/>
      <c r="H197" s="473"/>
      <c r="I197" s="482" t="s">
        <v>115</v>
      </c>
      <c r="J197" s="483"/>
      <c r="K197" s="483"/>
      <c r="L197" s="483"/>
      <c r="M197" s="484"/>
      <c r="N197" s="471"/>
      <c r="O197" s="472"/>
      <c r="P197" s="472"/>
      <c r="Q197" s="473"/>
      <c r="R197" s="323"/>
    </row>
    <row r="198" spans="1:18" ht="32.25" customHeight="1">
      <c r="A198" s="378">
        <v>2</v>
      </c>
      <c r="B198" s="478" t="s">
        <v>116</v>
      </c>
      <c r="C198" s="459"/>
      <c r="D198" s="460"/>
      <c r="E198" s="471"/>
      <c r="F198" s="472"/>
      <c r="G198" s="472"/>
      <c r="H198" s="473"/>
      <c r="I198" s="492" t="s">
        <v>117</v>
      </c>
      <c r="J198" s="493"/>
      <c r="K198" s="493"/>
      <c r="L198" s="493"/>
      <c r="M198" s="494"/>
      <c r="N198" s="471"/>
      <c r="O198" s="472"/>
      <c r="P198" s="472"/>
      <c r="Q198" s="473"/>
      <c r="R198" s="323"/>
    </row>
    <row r="199" spans="1:18" ht="24.75" customHeight="1">
      <c r="A199" s="377">
        <v>3</v>
      </c>
      <c r="B199" s="478" t="s">
        <v>118</v>
      </c>
      <c r="C199" s="459"/>
      <c r="D199" s="460"/>
      <c r="E199" s="471"/>
      <c r="F199" s="472"/>
      <c r="G199" s="472"/>
      <c r="H199" s="473"/>
      <c r="I199" s="482" t="s">
        <v>119</v>
      </c>
      <c r="J199" s="483"/>
      <c r="K199" s="483"/>
      <c r="L199" s="483"/>
      <c r="M199" s="484"/>
      <c r="N199" s="471"/>
      <c r="O199" s="472"/>
      <c r="P199" s="472"/>
      <c r="Q199" s="473"/>
      <c r="R199" s="323"/>
    </row>
    <row r="200" spans="1:18" ht="48.75" customHeight="1">
      <c r="A200" s="377">
        <v>4</v>
      </c>
      <c r="B200" s="478" t="s">
        <v>122</v>
      </c>
      <c r="C200" s="459"/>
      <c r="D200" s="460"/>
      <c r="E200" s="471"/>
      <c r="F200" s="472"/>
      <c r="G200" s="472"/>
      <c r="H200" s="473"/>
      <c r="I200" s="482" t="s">
        <v>123</v>
      </c>
      <c r="J200" s="483"/>
      <c r="K200" s="483"/>
      <c r="L200" s="483"/>
      <c r="M200" s="484"/>
      <c r="N200" s="471"/>
      <c r="O200" s="472"/>
      <c r="P200" s="472"/>
      <c r="Q200" s="473"/>
      <c r="R200" s="323"/>
    </row>
    <row r="201" spans="1:18" ht="15.75" thickBot="1">
      <c r="A201" s="323"/>
      <c r="B201" s="323"/>
      <c r="C201" s="323"/>
      <c r="D201" s="323"/>
      <c r="E201" s="323"/>
      <c r="F201" s="323"/>
      <c r="G201" s="323"/>
      <c r="H201" s="323"/>
      <c r="I201" s="323"/>
      <c r="J201" s="323"/>
      <c r="K201" s="323"/>
      <c r="L201" s="323"/>
      <c r="M201" s="323"/>
      <c r="N201" s="323"/>
      <c r="O201" s="323"/>
      <c r="P201" s="323"/>
      <c r="Q201" s="323"/>
      <c r="R201" s="323"/>
    </row>
    <row r="202" spans="1:18" ht="15">
      <c r="A202" s="348" t="s">
        <v>67</v>
      </c>
      <c r="B202" s="349" t="s">
        <v>68</v>
      </c>
      <c r="C202" s="323"/>
      <c r="D202" s="323"/>
      <c r="E202" s="323"/>
      <c r="F202" s="323"/>
      <c r="G202" s="323"/>
      <c r="H202" s="323"/>
      <c r="I202" s="323"/>
      <c r="J202" s="323"/>
      <c r="K202" s="323"/>
      <c r="L202" s="323"/>
      <c r="M202" s="323"/>
      <c r="N202" s="323"/>
      <c r="O202" s="323"/>
      <c r="P202" s="323"/>
      <c r="Q202" s="323"/>
      <c r="R202" s="323"/>
    </row>
    <row r="203" spans="1:18" ht="15">
      <c r="A203" s="323"/>
      <c r="B203" s="323"/>
      <c r="C203" s="323"/>
      <c r="D203" s="323"/>
      <c r="E203" s="323"/>
      <c r="F203" s="323"/>
      <c r="G203" s="323"/>
      <c r="H203" s="323"/>
      <c r="I203" s="323"/>
      <c r="J203" s="323"/>
      <c r="K203" s="323"/>
      <c r="L203" s="323"/>
      <c r="M203" s="323"/>
      <c r="N203" s="323"/>
      <c r="O203" s="323"/>
      <c r="P203" s="323"/>
      <c r="Q203" s="323"/>
      <c r="R203" s="323"/>
    </row>
    <row r="204" spans="1:18" ht="30.75" customHeight="1">
      <c r="A204" s="454" t="s">
        <v>40</v>
      </c>
      <c r="B204" s="454"/>
      <c r="C204" s="454"/>
      <c r="D204" s="454"/>
      <c r="E204" s="454"/>
      <c r="F204" s="454"/>
      <c r="G204" s="454"/>
      <c r="H204" s="454"/>
      <c r="I204" s="454"/>
      <c r="J204" s="454"/>
      <c r="K204" s="454"/>
      <c r="L204" s="454"/>
      <c r="M204" s="454"/>
      <c r="N204" s="454"/>
      <c r="O204" s="454"/>
      <c r="P204" s="454"/>
      <c r="Q204" s="454"/>
      <c r="R204" s="454"/>
    </row>
    <row r="205" spans="1:18" ht="15">
      <c r="A205" s="323"/>
      <c r="B205" s="323"/>
      <c r="C205" s="323"/>
      <c r="D205" s="323"/>
      <c r="E205" s="323"/>
      <c r="F205" s="323"/>
      <c r="G205" s="323"/>
      <c r="H205" s="323"/>
      <c r="I205" s="323"/>
      <c r="J205" s="323"/>
      <c r="K205" s="323"/>
      <c r="L205" s="323"/>
      <c r="M205" s="323"/>
      <c r="N205" s="323"/>
      <c r="O205" s="323"/>
      <c r="P205" s="323"/>
      <c r="Q205" s="323"/>
      <c r="R205" s="323"/>
    </row>
    <row r="206" spans="1:18" ht="15">
      <c r="A206" s="323"/>
      <c r="B206" s="323"/>
      <c r="C206" s="323"/>
      <c r="D206" s="323"/>
      <c r="E206" s="323"/>
      <c r="F206" s="323"/>
      <c r="G206" s="323"/>
      <c r="H206" s="323"/>
      <c r="I206" s="323"/>
      <c r="J206" s="323"/>
      <c r="K206" s="323"/>
      <c r="L206" s="323"/>
      <c r="M206" s="323"/>
      <c r="N206" s="323"/>
      <c r="O206" s="323"/>
      <c r="P206" s="323"/>
      <c r="Q206" s="323"/>
      <c r="R206" s="323"/>
    </row>
    <row r="207" spans="1:18" ht="15">
      <c r="A207" s="323"/>
      <c r="B207" s="323" t="s">
        <v>69</v>
      </c>
      <c r="C207" s="323"/>
      <c r="D207" s="323"/>
      <c r="E207" s="323"/>
      <c r="F207" s="323"/>
      <c r="G207" s="323"/>
      <c r="H207" s="323"/>
      <c r="I207" s="323"/>
      <c r="J207" s="323"/>
      <c r="K207" s="323"/>
      <c r="L207" s="323"/>
      <c r="M207" s="323"/>
      <c r="N207" s="323"/>
      <c r="O207" s="323"/>
      <c r="P207" s="323"/>
      <c r="Q207" s="323"/>
      <c r="R207" s="323"/>
    </row>
    <row r="208" spans="1:18" ht="15">
      <c r="A208" s="323"/>
      <c r="B208" s="323"/>
      <c r="C208" s="323"/>
      <c r="D208" s="323"/>
      <c r="E208" s="323"/>
      <c r="F208" s="323"/>
      <c r="G208" s="323"/>
      <c r="H208" s="323"/>
      <c r="I208" s="323"/>
      <c r="J208" s="323"/>
      <c r="K208" s="323"/>
      <c r="L208" s="323"/>
      <c r="M208" s="323"/>
      <c r="N208" s="323"/>
      <c r="O208" s="323"/>
      <c r="P208" s="323"/>
      <c r="Q208" s="323"/>
      <c r="R208" s="323"/>
    </row>
    <row r="209" spans="1:18" ht="30" customHeight="1">
      <c r="A209" s="360" t="s">
        <v>53</v>
      </c>
      <c r="B209" s="485" t="s">
        <v>70</v>
      </c>
      <c r="C209" s="486"/>
      <c r="D209" s="487"/>
      <c r="E209" s="488" t="s">
        <v>71</v>
      </c>
      <c r="F209" s="489"/>
      <c r="G209" s="489"/>
      <c r="H209" s="490"/>
      <c r="I209" s="491" t="s">
        <v>72</v>
      </c>
      <c r="J209" s="491"/>
      <c r="K209" s="491"/>
      <c r="L209" s="491"/>
      <c r="M209" s="491"/>
      <c r="N209" s="491" t="s">
        <v>73</v>
      </c>
      <c r="O209" s="491"/>
      <c r="P209" s="491"/>
      <c r="Q209" s="491"/>
      <c r="R209" s="323"/>
    </row>
    <row r="210" spans="1:19" ht="70.5" customHeight="1">
      <c r="A210" s="377">
        <v>1</v>
      </c>
      <c r="B210" s="478" t="s">
        <v>113</v>
      </c>
      <c r="C210" s="459"/>
      <c r="D210" s="460"/>
      <c r="E210" s="471">
        <v>2014</v>
      </c>
      <c r="F210" s="472"/>
      <c r="G210" s="472"/>
      <c r="H210" s="473"/>
      <c r="I210" s="479">
        <f>P92+P144</f>
        <v>17757264.7</v>
      </c>
      <c r="J210" s="480"/>
      <c r="K210" s="480"/>
      <c r="L210" s="480"/>
      <c r="M210" s="481"/>
      <c r="N210" s="471">
        <f>P69</f>
        <v>310</v>
      </c>
      <c r="O210" s="472"/>
      <c r="P210" s="472"/>
      <c r="Q210" s="473"/>
      <c r="R210" s="323"/>
      <c r="S210" s="18"/>
    </row>
    <row r="211" spans="1:18" ht="15" customHeight="1" hidden="1">
      <c r="A211" s="377"/>
      <c r="B211" s="471"/>
      <c r="C211" s="472"/>
      <c r="D211" s="473"/>
      <c r="E211" s="471"/>
      <c r="F211" s="472"/>
      <c r="G211" s="472"/>
      <c r="H211" s="473"/>
      <c r="I211" s="471"/>
      <c r="J211" s="472"/>
      <c r="K211" s="472"/>
      <c r="L211" s="472"/>
      <c r="M211" s="473"/>
      <c r="N211" s="471"/>
      <c r="O211" s="472"/>
      <c r="P211" s="472"/>
      <c r="Q211" s="473"/>
      <c r="R211" s="323"/>
    </row>
    <row r="212" spans="1:18" ht="15" customHeight="1" hidden="1">
      <c r="A212" s="377"/>
      <c r="B212" s="471"/>
      <c r="C212" s="472"/>
      <c r="D212" s="473"/>
      <c r="E212" s="471"/>
      <c r="F212" s="472"/>
      <c r="G212" s="472"/>
      <c r="H212" s="473"/>
      <c r="I212" s="471"/>
      <c r="J212" s="472"/>
      <c r="K212" s="472"/>
      <c r="L212" s="472"/>
      <c r="M212" s="473"/>
      <c r="N212" s="471"/>
      <c r="O212" s="472"/>
      <c r="P212" s="472"/>
      <c r="Q212" s="473"/>
      <c r="R212" s="323"/>
    </row>
    <row r="213" spans="1:18" ht="15.75" thickBot="1">
      <c r="A213" s="323"/>
      <c r="B213" s="323"/>
      <c r="C213" s="323"/>
      <c r="D213" s="323"/>
      <c r="E213" s="323"/>
      <c r="F213" s="323"/>
      <c r="G213" s="323"/>
      <c r="H213" s="323"/>
      <c r="I213" s="323"/>
      <c r="J213" s="323"/>
      <c r="K213" s="323"/>
      <c r="L213" s="323"/>
      <c r="M213" s="323"/>
      <c r="N213" s="323"/>
      <c r="O213" s="323"/>
      <c r="P213" s="323"/>
      <c r="Q213" s="323"/>
      <c r="R213" s="323"/>
    </row>
    <row r="214" spans="1:18" ht="15" customHeight="1">
      <c r="A214" s="379" t="s">
        <v>74</v>
      </c>
      <c r="B214" s="380" t="s">
        <v>75</v>
      </c>
      <c r="C214" s="361"/>
      <c r="D214" s="361"/>
      <c r="E214" s="361"/>
      <c r="F214" s="361"/>
      <c r="G214" s="361"/>
      <c r="H214" s="361"/>
      <c r="I214" s="361"/>
      <c r="J214" s="361"/>
      <c r="K214" s="361"/>
      <c r="L214" s="361"/>
      <c r="M214" s="361"/>
      <c r="N214" s="361"/>
      <c r="O214" s="361"/>
      <c r="P214" s="361"/>
      <c r="Q214" s="361"/>
      <c r="R214" s="361"/>
    </row>
    <row r="215" spans="1:18" ht="13.5" customHeight="1">
      <c r="A215" s="323" t="s">
        <v>76</v>
      </c>
      <c r="B215" s="323"/>
      <c r="C215" s="323"/>
      <c r="D215" s="323"/>
      <c r="E215" s="323"/>
      <c r="F215" s="323"/>
      <c r="G215" s="323"/>
      <c r="H215" s="323"/>
      <c r="I215" s="323"/>
      <c r="J215" s="323"/>
      <c r="K215" s="323"/>
      <c r="L215" s="323"/>
      <c r="M215" s="323"/>
      <c r="N215" s="323"/>
      <c r="O215" s="323"/>
      <c r="P215" s="323"/>
      <c r="Q215" s="323"/>
      <c r="R215" s="323"/>
    </row>
    <row r="216" spans="1:18" ht="14.25" customHeight="1">
      <c r="A216" s="323" t="s">
        <v>77</v>
      </c>
      <c r="B216" s="323"/>
      <c r="C216" s="323"/>
      <c r="D216" s="323"/>
      <c r="E216" s="323"/>
      <c r="F216" s="323"/>
      <c r="G216" s="323"/>
      <c r="H216" s="323"/>
      <c r="I216" s="323"/>
      <c r="J216" s="323"/>
      <c r="K216" s="323"/>
      <c r="L216" s="323"/>
      <c r="M216" s="323"/>
      <c r="N216" s="323"/>
      <c r="O216" s="323"/>
      <c r="P216" s="323"/>
      <c r="Q216" s="323"/>
      <c r="R216" s="323"/>
    </row>
    <row r="217" spans="1:18" ht="15">
      <c r="A217" s="323"/>
      <c r="B217" s="323"/>
      <c r="C217" s="323"/>
      <c r="D217" s="323"/>
      <c r="E217" s="323"/>
      <c r="F217" s="323"/>
      <c r="G217" s="323"/>
      <c r="H217" s="323"/>
      <c r="I217" s="323"/>
      <c r="J217" s="323"/>
      <c r="K217" s="323"/>
      <c r="L217" s="323"/>
      <c r="M217" s="323"/>
      <c r="N217" s="323"/>
      <c r="O217" s="323"/>
      <c r="P217" s="323"/>
      <c r="Q217" s="323"/>
      <c r="R217" s="323"/>
    </row>
    <row r="218" spans="1:18" ht="15">
      <c r="A218" s="323"/>
      <c r="B218" s="323"/>
      <c r="C218" s="323"/>
      <c r="D218" s="323"/>
      <c r="E218" s="323"/>
      <c r="F218" s="323"/>
      <c r="G218" s="323"/>
      <c r="H218" s="323"/>
      <c r="I218" s="323"/>
      <c r="J218" s="323"/>
      <c r="K218" s="323"/>
      <c r="L218" s="323"/>
      <c r="M218" s="323"/>
      <c r="N218" s="323"/>
      <c r="O218" s="323"/>
      <c r="P218" s="323"/>
      <c r="Q218" s="323"/>
      <c r="R218" s="323"/>
    </row>
    <row r="219" spans="1:18" ht="15">
      <c r="A219" s="323"/>
      <c r="B219" s="323" t="s">
        <v>78</v>
      </c>
      <c r="C219" s="323"/>
      <c r="D219" s="323"/>
      <c r="E219" s="323"/>
      <c r="F219" s="323"/>
      <c r="G219" s="323"/>
      <c r="H219" s="323"/>
      <c r="I219" s="323"/>
      <c r="J219" s="323"/>
      <c r="K219" s="323"/>
      <c r="L219" s="323"/>
      <c r="M219" s="323"/>
      <c r="N219" s="323"/>
      <c r="O219" s="323"/>
      <c r="P219" s="323"/>
      <c r="Q219" s="323"/>
      <c r="R219" s="323"/>
    </row>
    <row r="220" spans="1:18" ht="15">
      <c r="A220" s="323"/>
      <c r="B220" s="323"/>
      <c r="C220" s="323"/>
      <c r="D220" s="323"/>
      <c r="E220" s="323"/>
      <c r="F220" s="323"/>
      <c r="G220" s="323"/>
      <c r="H220" s="323"/>
      <c r="I220" s="323"/>
      <c r="J220" s="323"/>
      <c r="K220" s="323"/>
      <c r="L220" s="323"/>
      <c r="M220" s="323"/>
      <c r="N220" s="323"/>
      <c r="O220" s="323"/>
      <c r="P220" s="323"/>
      <c r="Q220" s="323"/>
      <c r="R220" s="323"/>
    </row>
    <row r="221" spans="1:18" ht="63.75" customHeight="1">
      <c r="A221" s="475" t="s">
        <v>184</v>
      </c>
      <c r="B221" s="476"/>
      <c r="C221" s="476"/>
      <c r="D221" s="476"/>
      <c r="E221" s="476"/>
      <c r="F221" s="476"/>
      <c r="G221" s="476"/>
      <c r="H221" s="476"/>
      <c r="I221" s="476"/>
      <c r="J221" s="476"/>
      <c r="K221" s="476"/>
      <c r="L221" s="476"/>
      <c r="M221" s="476"/>
      <c r="N221" s="476"/>
      <c r="O221" s="476"/>
      <c r="P221" s="476"/>
      <c r="Q221" s="477"/>
      <c r="R221" s="381"/>
    </row>
    <row r="222" spans="1:17" ht="15">
      <c r="A222" s="323"/>
      <c r="B222" s="323"/>
      <c r="C222" s="323"/>
      <c r="D222" s="323"/>
      <c r="E222" s="323"/>
      <c r="F222" s="323"/>
      <c r="G222" s="323"/>
      <c r="H222" s="323"/>
      <c r="I222" s="323"/>
      <c r="J222" s="323"/>
      <c r="K222" s="323"/>
      <c r="L222" s="323"/>
      <c r="M222" s="323"/>
      <c r="N222" s="323"/>
      <c r="O222" s="323"/>
      <c r="P222" s="323"/>
      <c r="Q222" s="323"/>
    </row>
    <row r="223" spans="1:17" ht="15">
      <c r="A223" s="323"/>
      <c r="B223" s="323" t="s">
        <v>79</v>
      </c>
      <c r="C223" s="323"/>
      <c r="D223" s="323"/>
      <c r="E223" s="323"/>
      <c r="F223" s="323"/>
      <c r="G223" s="323"/>
      <c r="H223" s="323"/>
      <c r="I223" s="323"/>
      <c r="J223" s="323"/>
      <c r="K223" s="323"/>
      <c r="L223" s="323"/>
      <c r="M223" s="323"/>
      <c r="N223" s="323"/>
      <c r="O223" s="323"/>
      <c r="P223" s="323"/>
      <c r="Q223" s="323"/>
    </row>
    <row r="224" spans="1:17" ht="15">
      <c r="A224" s="323"/>
      <c r="B224" s="323"/>
      <c r="C224" s="323"/>
      <c r="D224" s="323"/>
      <c r="E224" s="323"/>
      <c r="F224" s="323"/>
      <c r="G224" s="323"/>
      <c r="H224" s="323"/>
      <c r="I224" s="323"/>
      <c r="J224" s="323"/>
      <c r="K224" s="323"/>
      <c r="L224" s="323"/>
      <c r="M224" s="323"/>
      <c r="N224" s="323"/>
      <c r="O224" s="323"/>
      <c r="P224" s="323"/>
      <c r="Q224" s="323"/>
    </row>
    <row r="225" spans="1:17" ht="15">
      <c r="A225" s="471">
        <f>ROUND(P92/P69,2)</f>
        <v>45096.13</v>
      </c>
      <c r="B225" s="472"/>
      <c r="C225" s="472"/>
      <c r="D225" s="472"/>
      <c r="E225" s="472"/>
      <c r="F225" s="472"/>
      <c r="G225" s="472"/>
      <c r="H225" s="472"/>
      <c r="I225" s="472"/>
      <c r="J225" s="472"/>
      <c r="K225" s="472"/>
      <c r="L225" s="472"/>
      <c r="M225" s="472"/>
      <c r="N225" s="472"/>
      <c r="O225" s="472"/>
      <c r="P225" s="472"/>
      <c r="Q225" s="473"/>
    </row>
    <row r="226" spans="1:17" ht="15">
      <c r="A226" s="323"/>
      <c r="B226" s="323"/>
      <c r="C226" s="323"/>
      <c r="D226" s="323"/>
      <c r="E226" s="323"/>
      <c r="F226" s="323"/>
      <c r="G226" s="323"/>
      <c r="H226" s="323"/>
      <c r="I226" s="323"/>
      <c r="J226" s="323"/>
      <c r="K226" s="323"/>
      <c r="L226" s="323"/>
      <c r="M226" s="323"/>
      <c r="N226" s="323"/>
      <c r="O226" s="323"/>
      <c r="P226" s="323"/>
      <c r="Q226" s="323"/>
    </row>
    <row r="227" spans="1:17" ht="15">
      <c r="A227" s="323"/>
      <c r="B227" s="323"/>
      <c r="C227" s="323"/>
      <c r="D227" s="323"/>
      <c r="E227" s="323"/>
      <c r="F227" s="323"/>
      <c r="G227" s="323"/>
      <c r="H227" s="323"/>
      <c r="I227" s="323"/>
      <c r="J227" s="323"/>
      <c r="K227" s="323"/>
      <c r="L227" s="323"/>
      <c r="M227" s="323"/>
      <c r="N227" s="323"/>
      <c r="O227" s="323"/>
      <c r="P227" s="323"/>
      <c r="Q227" s="323"/>
    </row>
    <row r="228" spans="1:17" ht="15">
      <c r="A228" s="323"/>
      <c r="B228" s="323"/>
      <c r="C228" s="323"/>
      <c r="D228" s="323"/>
      <c r="E228" s="323"/>
      <c r="F228" s="323"/>
      <c r="G228" s="323"/>
      <c r="H228" s="323"/>
      <c r="I228" s="323"/>
      <c r="J228" s="323"/>
      <c r="K228" s="323"/>
      <c r="L228" s="323"/>
      <c r="M228" s="323"/>
      <c r="N228" s="323"/>
      <c r="O228" s="323"/>
      <c r="P228" s="323"/>
      <c r="Q228" s="323"/>
    </row>
    <row r="229" spans="1:17" ht="15">
      <c r="A229" s="323"/>
      <c r="B229" s="323" t="s">
        <v>80</v>
      </c>
      <c r="C229" s="323"/>
      <c r="D229" s="323"/>
      <c r="E229" s="323"/>
      <c r="F229" s="323"/>
      <c r="G229" s="323"/>
      <c r="H229" s="323"/>
      <c r="I229" s="323"/>
      <c r="J229" s="323"/>
      <c r="K229" s="323"/>
      <c r="L229" s="323"/>
      <c r="M229" s="323"/>
      <c r="N229" s="323"/>
      <c r="O229" s="323"/>
      <c r="P229" s="323"/>
      <c r="Q229" s="323"/>
    </row>
    <row r="230" spans="1:17" ht="15">
      <c r="A230" s="323"/>
      <c r="B230" s="323"/>
      <c r="C230" s="323"/>
      <c r="D230" s="323"/>
      <c r="E230" s="323"/>
      <c r="F230" s="323"/>
      <c r="G230" s="323"/>
      <c r="H230" s="323"/>
      <c r="I230" s="323"/>
      <c r="J230" s="323"/>
      <c r="K230" s="323"/>
      <c r="L230" s="323"/>
      <c r="M230" s="323"/>
      <c r="N230" s="323"/>
      <c r="O230" s="323"/>
      <c r="P230" s="323"/>
      <c r="Q230" s="323"/>
    </row>
    <row r="231" spans="1:17" ht="30.75" customHeight="1">
      <c r="A231" s="455" t="s">
        <v>93</v>
      </c>
      <c r="B231" s="456"/>
      <c r="C231" s="456"/>
      <c r="D231" s="456"/>
      <c r="E231" s="456"/>
      <c r="F231" s="456"/>
      <c r="G231" s="456"/>
      <c r="H231" s="456"/>
      <c r="I231" s="456"/>
      <c r="J231" s="456"/>
      <c r="K231" s="456"/>
      <c r="L231" s="456"/>
      <c r="M231" s="456"/>
      <c r="N231" s="456"/>
      <c r="O231" s="456"/>
      <c r="P231" s="456"/>
      <c r="Q231" s="457"/>
    </row>
    <row r="232" spans="1:17" ht="15">
      <c r="A232" s="323"/>
      <c r="B232" s="323"/>
      <c r="C232" s="323"/>
      <c r="D232" s="323"/>
      <c r="E232" s="323"/>
      <c r="F232" s="323"/>
      <c r="G232" s="323"/>
      <c r="H232" s="323"/>
      <c r="I232" s="323"/>
      <c r="J232" s="323"/>
      <c r="K232" s="323"/>
      <c r="L232" s="323"/>
      <c r="M232" s="323"/>
      <c r="N232" s="323"/>
      <c r="O232" s="323"/>
      <c r="P232" s="323"/>
      <c r="Q232" s="323"/>
    </row>
    <row r="233" spans="1:17" ht="15">
      <c r="A233" s="323"/>
      <c r="B233" s="323"/>
      <c r="C233" s="323"/>
      <c r="D233" s="323"/>
      <c r="E233" s="323"/>
      <c r="F233" s="323"/>
      <c r="G233" s="323"/>
      <c r="H233" s="323"/>
      <c r="I233" s="323"/>
      <c r="J233" s="323"/>
      <c r="K233" s="323"/>
      <c r="L233" s="323"/>
      <c r="M233" s="323"/>
      <c r="N233" s="323"/>
      <c r="O233" s="323"/>
      <c r="P233" s="323"/>
      <c r="Q233" s="323"/>
    </row>
    <row r="234" spans="1:17" ht="15">
      <c r="A234" s="323"/>
      <c r="B234" s="323" t="s">
        <v>81</v>
      </c>
      <c r="C234" s="323"/>
      <c r="D234" s="323"/>
      <c r="E234" s="323"/>
      <c r="F234" s="323"/>
      <c r="G234" s="323"/>
      <c r="H234" s="323"/>
      <c r="I234" s="323"/>
      <c r="J234" s="323"/>
      <c r="K234" s="323"/>
      <c r="L234" s="323"/>
      <c r="M234" s="323"/>
      <c r="N234" s="323"/>
      <c r="O234" s="323"/>
      <c r="P234" s="323"/>
      <c r="Q234" s="323"/>
    </row>
    <row r="235" spans="1:17" ht="9" customHeight="1">
      <c r="A235" s="323"/>
      <c r="B235" s="323"/>
      <c r="C235" s="323"/>
      <c r="D235" s="323"/>
      <c r="E235" s="323"/>
      <c r="F235" s="323"/>
      <c r="G235" s="323"/>
      <c r="H235" s="323"/>
      <c r="I235" s="323"/>
      <c r="J235" s="323"/>
      <c r="K235" s="323"/>
      <c r="L235" s="323"/>
      <c r="M235" s="323"/>
      <c r="N235" s="323"/>
      <c r="O235" s="323"/>
      <c r="P235" s="323"/>
      <c r="Q235" s="323"/>
    </row>
    <row r="236" spans="1:17" ht="86.25" customHeight="1">
      <c r="A236" s="458" t="s">
        <v>427</v>
      </c>
      <c r="B236" s="459"/>
      <c r="C236" s="459"/>
      <c r="D236" s="459"/>
      <c r="E236" s="459"/>
      <c r="F236" s="459"/>
      <c r="G236" s="459"/>
      <c r="H236" s="459"/>
      <c r="I236" s="459"/>
      <c r="J236" s="459"/>
      <c r="K236" s="459"/>
      <c r="L236" s="459"/>
      <c r="M236" s="459"/>
      <c r="N236" s="459"/>
      <c r="O236" s="459"/>
      <c r="P236" s="459"/>
      <c r="Q236" s="460"/>
    </row>
    <row r="237" spans="1:17" ht="15">
      <c r="A237" s="362"/>
      <c r="B237" s="362"/>
      <c r="C237" s="362"/>
      <c r="D237" s="362"/>
      <c r="E237" s="362"/>
      <c r="F237" s="362"/>
      <c r="G237" s="362"/>
      <c r="H237" s="362"/>
      <c r="I237" s="362"/>
      <c r="J237" s="362"/>
      <c r="K237" s="362"/>
      <c r="L237" s="362"/>
      <c r="M237" s="362"/>
      <c r="N237" s="362"/>
      <c r="O237" s="362"/>
      <c r="P237" s="362"/>
      <c r="Q237" s="362"/>
    </row>
    <row r="238" spans="1:17" ht="15">
      <c r="A238" s="362"/>
      <c r="B238" s="362" t="s">
        <v>82</v>
      </c>
      <c r="C238" s="362"/>
      <c r="D238" s="362"/>
      <c r="E238" s="362"/>
      <c r="F238" s="362"/>
      <c r="G238" s="362"/>
      <c r="H238" s="362"/>
      <c r="I238" s="362"/>
      <c r="J238" s="362"/>
      <c r="K238" s="362"/>
      <c r="L238" s="362"/>
      <c r="M238" s="362"/>
      <c r="N238" s="362"/>
      <c r="O238" s="362"/>
      <c r="P238" s="362"/>
      <c r="Q238" s="362"/>
    </row>
    <row r="239" spans="1:17" ht="15">
      <c r="A239" s="362"/>
      <c r="B239" s="362"/>
      <c r="C239" s="362"/>
      <c r="D239" s="362"/>
      <c r="E239" s="362"/>
      <c r="F239" s="362"/>
      <c r="G239" s="362"/>
      <c r="H239" s="362"/>
      <c r="I239" s="362"/>
      <c r="J239" s="362"/>
      <c r="K239" s="362"/>
      <c r="L239" s="362"/>
      <c r="M239" s="362"/>
      <c r="N239" s="362"/>
      <c r="O239" s="362"/>
      <c r="P239" s="362"/>
      <c r="Q239" s="362"/>
    </row>
    <row r="240" spans="1:17" ht="35.25" customHeight="1">
      <c r="A240" s="461" t="s">
        <v>99</v>
      </c>
      <c r="B240" s="462"/>
      <c r="C240" s="462"/>
      <c r="D240" s="462"/>
      <c r="E240" s="462"/>
      <c r="F240" s="462"/>
      <c r="G240" s="462"/>
      <c r="H240" s="462"/>
      <c r="I240" s="462"/>
      <c r="J240" s="462"/>
      <c r="K240" s="462"/>
      <c r="L240" s="462"/>
      <c r="M240" s="462"/>
      <c r="N240" s="462"/>
      <c r="O240" s="462"/>
      <c r="P240" s="462"/>
      <c r="Q240" s="463"/>
    </row>
    <row r="241" spans="1:17" ht="15">
      <c r="A241" s="363" t="s">
        <v>94</v>
      </c>
      <c r="B241" s="364"/>
      <c r="C241" s="364"/>
      <c r="D241" s="364"/>
      <c r="E241" s="364"/>
      <c r="F241" s="364"/>
      <c r="G241" s="364"/>
      <c r="H241" s="364"/>
      <c r="I241" s="364"/>
      <c r="J241" s="364"/>
      <c r="K241" s="364"/>
      <c r="L241" s="364"/>
      <c r="M241" s="364"/>
      <c r="N241" s="364"/>
      <c r="O241" s="364"/>
      <c r="P241" s="364"/>
      <c r="Q241" s="365"/>
    </row>
    <row r="242" spans="1:17" ht="24.75" customHeight="1">
      <c r="A242" s="464" t="s">
        <v>95</v>
      </c>
      <c r="B242" s="465"/>
      <c r="C242" s="465"/>
      <c r="D242" s="465"/>
      <c r="E242" s="465"/>
      <c r="F242" s="465"/>
      <c r="G242" s="465"/>
      <c r="H242" s="465"/>
      <c r="I242" s="465"/>
      <c r="J242" s="465"/>
      <c r="K242" s="465"/>
      <c r="L242" s="465"/>
      <c r="M242" s="465"/>
      <c r="N242" s="465"/>
      <c r="O242" s="465"/>
      <c r="P242" s="465"/>
      <c r="Q242" s="466"/>
    </row>
    <row r="243" spans="1:17" ht="15">
      <c r="A243" s="467" t="s">
        <v>96</v>
      </c>
      <c r="B243" s="468"/>
      <c r="C243" s="468"/>
      <c r="D243" s="468"/>
      <c r="E243" s="468"/>
      <c r="F243" s="468"/>
      <c r="G243" s="468"/>
      <c r="H243" s="468"/>
      <c r="I243" s="468"/>
      <c r="J243" s="468"/>
      <c r="K243" s="468"/>
      <c r="L243" s="468"/>
      <c r="M243" s="468"/>
      <c r="N243" s="468"/>
      <c r="O243" s="468"/>
      <c r="P243" s="468"/>
      <c r="Q243" s="469"/>
    </row>
    <row r="244" spans="1:17" ht="15">
      <c r="A244" s="366" t="s">
        <v>97</v>
      </c>
      <c r="B244" s="367"/>
      <c r="C244" s="367"/>
      <c r="D244" s="367"/>
      <c r="E244" s="367"/>
      <c r="F244" s="367"/>
      <c r="G244" s="367"/>
      <c r="H244" s="367"/>
      <c r="I244" s="367"/>
      <c r="J244" s="367"/>
      <c r="K244" s="367"/>
      <c r="L244" s="367"/>
      <c r="M244" s="367"/>
      <c r="N244" s="367"/>
      <c r="O244" s="367"/>
      <c r="P244" s="367"/>
      <c r="Q244" s="368"/>
    </row>
    <row r="245" spans="1:17" ht="15">
      <c r="A245" s="369" t="s">
        <v>98</v>
      </c>
      <c r="B245" s="370"/>
      <c r="C245" s="370"/>
      <c r="D245" s="370"/>
      <c r="E245" s="370"/>
      <c r="F245" s="370"/>
      <c r="G245" s="370"/>
      <c r="H245" s="370"/>
      <c r="I245" s="370"/>
      <c r="J245" s="370"/>
      <c r="K245" s="370"/>
      <c r="L245" s="370"/>
      <c r="M245" s="370"/>
      <c r="N245" s="370"/>
      <c r="O245" s="370"/>
      <c r="P245" s="370"/>
      <c r="Q245" s="371"/>
    </row>
    <row r="246" spans="1:17" ht="15">
      <c r="A246" s="323"/>
      <c r="B246" s="323"/>
      <c r="C246" s="323"/>
      <c r="D246" s="323"/>
      <c r="E246" s="323"/>
      <c r="F246" s="323"/>
      <c r="G246" s="323"/>
      <c r="H246" s="323"/>
      <c r="I246" s="323"/>
      <c r="J246" s="323"/>
      <c r="K246" s="323"/>
      <c r="L246" s="323"/>
      <c r="M246" s="323"/>
      <c r="N246" s="323"/>
      <c r="O246" s="323"/>
      <c r="P246" s="323"/>
      <c r="Q246" s="323"/>
    </row>
    <row r="247" spans="1:17" ht="15">
      <c r="A247" s="323"/>
      <c r="B247" s="470" t="s">
        <v>102</v>
      </c>
      <c r="C247" s="470"/>
      <c r="D247" s="470"/>
      <c r="E247" s="470"/>
      <c r="F247" s="323"/>
      <c r="G247" s="323"/>
      <c r="H247" s="323"/>
      <c r="I247" s="370"/>
      <c r="J247" s="370"/>
      <c r="K247" s="474"/>
      <c r="L247" s="474"/>
      <c r="M247" s="474"/>
      <c r="N247" s="323" t="s">
        <v>85</v>
      </c>
      <c r="O247" s="323"/>
      <c r="P247" s="323"/>
      <c r="Q247" s="323"/>
    </row>
    <row r="248" spans="1:17" ht="15">
      <c r="A248" s="323"/>
      <c r="B248" s="323"/>
      <c r="C248" s="323"/>
      <c r="D248" s="323"/>
      <c r="E248" s="323"/>
      <c r="F248" s="323"/>
      <c r="G248" s="323"/>
      <c r="H248" s="323"/>
      <c r="I248" s="323"/>
      <c r="J248" s="323"/>
      <c r="K248" s="323"/>
      <c r="L248" s="323"/>
      <c r="M248" s="323"/>
      <c r="N248" s="323"/>
      <c r="O248" s="323"/>
      <c r="P248" s="323"/>
      <c r="Q248" s="323"/>
    </row>
    <row r="249" spans="1:17" ht="15">
      <c r="A249" s="323"/>
      <c r="B249" s="323" t="s">
        <v>83</v>
      </c>
      <c r="C249" s="370"/>
      <c r="D249" s="323"/>
      <c r="E249" s="372" t="s">
        <v>84</v>
      </c>
      <c r="F249" s="370"/>
      <c r="G249" s="370"/>
      <c r="H249" s="370"/>
      <c r="I249" s="323"/>
      <c r="J249" s="323"/>
      <c r="K249" s="323"/>
      <c r="L249" s="323"/>
      <c r="M249" s="323"/>
      <c r="N249" s="323"/>
      <c r="O249" s="323"/>
      <c r="P249" s="323"/>
      <c r="Q249" s="323"/>
    </row>
    <row r="250" spans="1:17" ht="15">
      <c r="A250" s="323"/>
      <c r="B250" s="323"/>
      <c r="C250" s="323"/>
      <c r="D250" s="323"/>
      <c r="E250" s="323"/>
      <c r="F250" s="323"/>
      <c r="G250" s="323"/>
      <c r="H250" s="323"/>
      <c r="I250" s="323"/>
      <c r="J250" s="323"/>
      <c r="K250" s="323"/>
      <c r="L250" s="323"/>
      <c r="M250" s="323"/>
      <c r="N250" s="323"/>
      <c r="O250" s="323"/>
      <c r="P250" s="323"/>
      <c r="Q250" s="323"/>
    </row>
    <row r="251" spans="1:17" ht="12.75" customHeight="1">
      <c r="A251" s="323"/>
      <c r="B251" s="453" t="s">
        <v>449</v>
      </c>
      <c r="C251" s="454"/>
      <c r="D251" s="454"/>
      <c r="E251" s="454"/>
      <c r="F251" s="323"/>
      <c r="G251" s="323"/>
      <c r="H251" s="323"/>
      <c r="I251" s="373" t="s">
        <v>450</v>
      </c>
      <c r="J251" s="370"/>
      <c r="K251" s="374"/>
      <c r="L251" s="374"/>
      <c r="M251" s="374"/>
      <c r="N251" s="323" t="s">
        <v>85</v>
      </c>
      <c r="O251" s="323"/>
      <c r="P251" s="323"/>
      <c r="Q251" s="323"/>
    </row>
    <row r="252" spans="1:17" ht="15">
      <c r="A252" s="323"/>
      <c r="B252" s="323"/>
      <c r="C252" s="323"/>
      <c r="D252" s="323"/>
      <c r="E252" s="323"/>
      <c r="F252" s="323"/>
      <c r="G252" s="323"/>
      <c r="H252" s="323"/>
      <c r="I252" s="323"/>
      <c r="J252" s="323"/>
      <c r="K252" s="323"/>
      <c r="L252" s="323"/>
      <c r="M252" s="323"/>
      <c r="N252" s="323"/>
      <c r="O252" s="323"/>
      <c r="P252" s="323"/>
      <c r="Q252" s="323"/>
    </row>
    <row r="253" spans="1:17" ht="15">
      <c r="A253" s="323"/>
      <c r="B253" s="323" t="s">
        <v>83</v>
      </c>
      <c r="C253" s="370"/>
      <c r="D253" s="323"/>
      <c r="E253" s="372" t="s">
        <v>84</v>
      </c>
      <c r="F253" s="370"/>
      <c r="G253" s="370"/>
      <c r="H253" s="370"/>
      <c r="I253" s="323"/>
      <c r="J253" s="323"/>
      <c r="K253" s="323"/>
      <c r="L253" s="323"/>
      <c r="M253" s="323"/>
      <c r="N253" s="323"/>
      <c r="O253" s="323"/>
      <c r="P253" s="323"/>
      <c r="Q253" s="323"/>
    </row>
    <row r="254" spans="1:17" ht="15">
      <c r="A254" s="323"/>
      <c r="B254" s="323"/>
      <c r="C254" s="323"/>
      <c r="D254" s="323"/>
      <c r="E254" s="323"/>
      <c r="F254" s="323"/>
      <c r="G254" s="323"/>
      <c r="H254" s="323"/>
      <c r="I254" s="323"/>
      <c r="J254" s="323"/>
      <c r="K254" s="323"/>
      <c r="L254" s="323"/>
      <c r="M254" s="323"/>
      <c r="N254" s="323"/>
      <c r="O254" s="323"/>
      <c r="P254" s="323"/>
      <c r="Q254" s="323"/>
    </row>
    <row r="255" spans="1:17" ht="15">
      <c r="A255" s="323"/>
      <c r="B255" s="323"/>
      <c r="C255" s="323"/>
      <c r="D255" s="323"/>
      <c r="E255" s="323"/>
      <c r="F255" s="323"/>
      <c r="G255" s="323"/>
      <c r="H255" s="323"/>
      <c r="I255" s="323"/>
      <c r="J255" s="323"/>
      <c r="K255" s="323"/>
      <c r="L255" s="323"/>
      <c r="M255" s="323"/>
      <c r="N255" s="323"/>
      <c r="O255" s="323"/>
      <c r="P255" s="323"/>
      <c r="Q255" s="323"/>
    </row>
    <row r="256" spans="1:17" ht="15">
      <c r="A256" s="323"/>
      <c r="B256" s="323"/>
      <c r="C256" s="323"/>
      <c r="D256" s="323"/>
      <c r="E256" s="323"/>
      <c r="F256" s="323"/>
      <c r="G256" s="323"/>
      <c r="H256" s="323"/>
      <c r="I256" s="323"/>
      <c r="J256" s="323"/>
      <c r="K256" s="323"/>
      <c r="L256" s="323"/>
      <c r="M256" s="323"/>
      <c r="N256" s="323"/>
      <c r="O256" s="323"/>
      <c r="P256" s="323"/>
      <c r="Q256" s="323"/>
    </row>
    <row r="257" spans="1:17" ht="15">
      <c r="A257" s="323"/>
      <c r="B257" s="323"/>
      <c r="C257" s="323"/>
      <c r="D257" s="323"/>
      <c r="E257" s="323"/>
      <c r="F257" s="323"/>
      <c r="G257" s="323"/>
      <c r="H257" s="323"/>
      <c r="I257" s="323"/>
      <c r="J257" s="323"/>
      <c r="K257" s="323"/>
      <c r="L257" s="323"/>
      <c r="M257" s="323"/>
      <c r="N257" s="323"/>
      <c r="O257" s="323"/>
      <c r="P257" s="323"/>
      <c r="Q257" s="323"/>
    </row>
    <row r="258" spans="1:17" ht="15">
      <c r="A258" s="323"/>
      <c r="B258" s="323"/>
      <c r="C258" s="323"/>
      <c r="D258" s="323"/>
      <c r="E258" s="323"/>
      <c r="F258" s="323"/>
      <c r="G258" s="323"/>
      <c r="H258" s="323"/>
      <c r="I258" s="323"/>
      <c r="J258" s="323"/>
      <c r="K258" s="323"/>
      <c r="L258" s="323"/>
      <c r="M258" s="323"/>
      <c r="N258" s="323"/>
      <c r="O258" s="323"/>
      <c r="P258" s="323"/>
      <c r="Q258" s="323"/>
    </row>
    <row r="259" spans="1:17" ht="15">
      <c r="A259" s="323"/>
      <c r="B259" s="323"/>
      <c r="C259" s="323"/>
      <c r="D259" s="323"/>
      <c r="E259" s="323"/>
      <c r="F259" s="323"/>
      <c r="G259" s="323"/>
      <c r="H259" s="323"/>
      <c r="I259" s="323"/>
      <c r="J259" s="323"/>
      <c r="K259" s="323"/>
      <c r="L259" s="323"/>
      <c r="M259" s="323"/>
      <c r="N259" s="323"/>
      <c r="O259" s="323"/>
      <c r="P259" s="323"/>
      <c r="Q259" s="323"/>
    </row>
    <row r="260" spans="1:17" ht="15">
      <c r="A260" s="323"/>
      <c r="B260" s="323"/>
      <c r="C260" s="323"/>
      <c r="D260" s="323"/>
      <c r="E260" s="323"/>
      <c r="F260" s="323"/>
      <c r="G260" s="323"/>
      <c r="H260" s="323"/>
      <c r="I260" s="323"/>
      <c r="J260" s="323"/>
      <c r="K260" s="323"/>
      <c r="L260" s="323"/>
      <c r="M260" s="323"/>
      <c r="N260" s="323"/>
      <c r="O260" s="323"/>
      <c r="P260" s="323"/>
      <c r="Q260" s="323"/>
    </row>
    <row r="261" spans="1:17" ht="15">
      <c r="A261" s="323"/>
      <c r="B261" s="323"/>
      <c r="C261" s="323"/>
      <c r="D261" s="323"/>
      <c r="E261" s="323"/>
      <c r="F261" s="323"/>
      <c r="G261" s="323"/>
      <c r="H261" s="323"/>
      <c r="I261" s="323"/>
      <c r="J261" s="323"/>
      <c r="K261" s="323"/>
      <c r="L261" s="323"/>
      <c r="M261" s="323"/>
      <c r="N261" s="323"/>
      <c r="O261" s="323"/>
      <c r="P261" s="323"/>
      <c r="Q261" s="323"/>
    </row>
    <row r="262" spans="1:17" ht="15">
      <c r="A262" s="323"/>
      <c r="B262" s="323"/>
      <c r="C262" s="323"/>
      <c r="D262" s="323"/>
      <c r="E262" s="323"/>
      <c r="F262" s="323"/>
      <c r="G262" s="323"/>
      <c r="H262" s="323"/>
      <c r="I262" s="323"/>
      <c r="J262" s="323"/>
      <c r="K262" s="323"/>
      <c r="L262" s="323"/>
      <c r="M262" s="323"/>
      <c r="N262" s="323"/>
      <c r="O262" s="323"/>
      <c r="P262" s="323"/>
      <c r="Q262" s="323"/>
    </row>
    <row r="263" spans="1:17" ht="15">
      <c r="A263" s="323"/>
      <c r="B263" s="323"/>
      <c r="C263" s="323"/>
      <c r="D263" s="323"/>
      <c r="E263" s="323"/>
      <c r="F263" s="323"/>
      <c r="G263" s="323"/>
      <c r="H263" s="323"/>
      <c r="I263" s="323"/>
      <c r="J263" s="323"/>
      <c r="K263" s="323"/>
      <c r="L263" s="323"/>
      <c r="M263" s="323"/>
      <c r="N263" s="323"/>
      <c r="O263" s="323"/>
      <c r="P263" s="323"/>
      <c r="Q263" s="323"/>
    </row>
    <row r="264" spans="1:17" ht="15">
      <c r="A264" s="323"/>
      <c r="B264" s="323"/>
      <c r="C264" s="323"/>
      <c r="D264" s="323"/>
      <c r="E264" s="323"/>
      <c r="F264" s="323"/>
      <c r="G264" s="323"/>
      <c r="H264" s="323"/>
      <c r="I264" s="323"/>
      <c r="J264" s="323"/>
      <c r="K264" s="323"/>
      <c r="L264" s="323"/>
      <c r="M264" s="323"/>
      <c r="N264" s="323"/>
      <c r="O264" s="323"/>
      <c r="P264" s="323"/>
      <c r="Q264" s="323"/>
    </row>
    <row r="265" spans="1:17" ht="15">
      <c r="A265" s="323"/>
      <c r="B265" s="323"/>
      <c r="C265" s="323"/>
      <c r="D265" s="323"/>
      <c r="E265" s="323"/>
      <c r="F265" s="323"/>
      <c r="G265" s="323"/>
      <c r="H265" s="323"/>
      <c r="I265" s="323"/>
      <c r="J265" s="323"/>
      <c r="K265" s="323"/>
      <c r="L265" s="323"/>
      <c r="M265" s="323"/>
      <c r="N265" s="323"/>
      <c r="O265" s="323"/>
      <c r="P265" s="323"/>
      <c r="Q265" s="323"/>
    </row>
    <row r="266" spans="1:17" ht="15">
      <c r="A266" s="323"/>
      <c r="B266" s="323"/>
      <c r="C266" s="323"/>
      <c r="D266" s="323"/>
      <c r="E266" s="323"/>
      <c r="F266" s="323"/>
      <c r="G266" s="323"/>
      <c r="H266" s="323"/>
      <c r="I266" s="323"/>
      <c r="J266" s="323"/>
      <c r="K266" s="323"/>
      <c r="L266" s="323"/>
      <c r="M266" s="323"/>
      <c r="N266" s="323"/>
      <c r="O266" s="323"/>
      <c r="P266" s="323"/>
      <c r="Q266" s="323"/>
    </row>
    <row r="267" spans="1:17" ht="15">
      <c r="A267" s="323"/>
      <c r="B267" s="323"/>
      <c r="C267" s="323"/>
      <c r="D267" s="323"/>
      <c r="E267" s="323"/>
      <c r="F267" s="323"/>
      <c r="G267" s="323"/>
      <c r="H267" s="323"/>
      <c r="I267" s="323"/>
      <c r="J267" s="323"/>
      <c r="K267" s="323"/>
      <c r="L267" s="323"/>
      <c r="M267" s="323"/>
      <c r="N267" s="323"/>
      <c r="O267" s="323"/>
      <c r="P267" s="323"/>
      <c r="Q267" s="323"/>
    </row>
    <row r="268" spans="1:17" ht="15">
      <c r="A268" s="323"/>
      <c r="B268" s="323"/>
      <c r="C268" s="323"/>
      <c r="D268" s="323"/>
      <c r="E268" s="323"/>
      <c r="F268" s="323"/>
      <c r="G268" s="323"/>
      <c r="H268" s="323"/>
      <c r="I268" s="323"/>
      <c r="J268" s="323"/>
      <c r="K268" s="323"/>
      <c r="L268" s="323"/>
      <c r="M268" s="323"/>
      <c r="N268" s="323"/>
      <c r="O268" s="323"/>
      <c r="P268" s="323"/>
      <c r="Q268" s="323"/>
    </row>
    <row r="269" spans="1:17" ht="15">
      <c r="A269" s="323"/>
      <c r="B269" s="323"/>
      <c r="C269" s="323"/>
      <c r="D269" s="323"/>
      <c r="E269" s="323"/>
      <c r="F269" s="323"/>
      <c r="G269" s="323"/>
      <c r="H269" s="323"/>
      <c r="I269" s="323"/>
      <c r="J269" s="323"/>
      <c r="K269" s="323"/>
      <c r="L269" s="323"/>
      <c r="M269" s="323"/>
      <c r="N269" s="323"/>
      <c r="O269" s="323"/>
      <c r="P269" s="323"/>
      <c r="Q269" s="323"/>
    </row>
    <row r="270" spans="1:17" ht="15">
      <c r="A270" s="323"/>
      <c r="B270" s="323"/>
      <c r="C270" s="323"/>
      <c r="D270" s="323"/>
      <c r="E270" s="323"/>
      <c r="F270" s="323"/>
      <c r="G270" s="323"/>
      <c r="H270" s="323"/>
      <c r="I270" s="323"/>
      <c r="J270" s="323"/>
      <c r="K270" s="323"/>
      <c r="L270" s="323"/>
      <c r="M270" s="323"/>
      <c r="N270" s="323"/>
      <c r="O270" s="323"/>
      <c r="P270" s="323"/>
      <c r="Q270" s="323"/>
    </row>
    <row r="271" spans="1:17" ht="15">
      <c r="A271" s="323"/>
      <c r="B271" s="323"/>
      <c r="C271" s="323"/>
      <c r="D271" s="323"/>
      <c r="E271" s="323"/>
      <c r="F271" s="323"/>
      <c r="G271" s="323"/>
      <c r="H271" s="323"/>
      <c r="I271" s="323"/>
      <c r="J271" s="323"/>
      <c r="K271" s="323"/>
      <c r="L271" s="323"/>
      <c r="M271" s="323"/>
      <c r="N271" s="323"/>
      <c r="O271" s="323"/>
      <c r="P271" s="323"/>
      <c r="Q271" s="323"/>
    </row>
    <row r="272" spans="1:17" ht="15">
      <c r="A272" s="323"/>
      <c r="B272" s="323"/>
      <c r="C272" s="323"/>
      <c r="D272" s="323"/>
      <c r="E272" s="323"/>
      <c r="F272" s="323"/>
      <c r="G272" s="323"/>
      <c r="H272" s="323"/>
      <c r="I272" s="323"/>
      <c r="J272" s="323"/>
      <c r="K272" s="323"/>
      <c r="L272" s="323"/>
      <c r="M272" s="323"/>
      <c r="N272" s="323"/>
      <c r="O272" s="323"/>
      <c r="P272" s="323"/>
      <c r="Q272" s="323"/>
    </row>
    <row r="273" spans="1:17" ht="15">
      <c r="A273" s="323"/>
      <c r="B273" s="323"/>
      <c r="C273" s="323"/>
      <c r="D273" s="323"/>
      <c r="E273" s="323"/>
      <c r="F273" s="323"/>
      <c r="G273" s="323"/>
      <c r="H273" s="323"/>
      <c r="I273" s="323"/>
      <c r="J273" s="323"/>
      <c r="K273" s="323"/>
      <c r="L273" s="323"/>
      <c r="M273" s="323"/>
      <c r="N273" s="323"/>
      <c r="O273" s="323"/>
      <c r="P273" s="323"/>
      <c r="Q273" s="323"/>
    </row>
    <row r="274" spans="1:17" ht="15">
      <c r="A274" s="323"/>
      <c r="B274" s="323"/>
      <c r="C274" s="323"/>
      <c r="D274" s="323"/>
      <c r="E274" s="323"/>
      <c r="F274" s="323"/>
      <c r="G274" s="323"/>
      <c r="H274" s="323"/>
      <c r="I274" s="323"/>
      <c r="J274" s="323"/>
      <c r="K274" s="323"/>
      <c r="L274" s="323"/>
      <c r="M274" s="323"/>
      <c r="N274" s="323"/>
      <c r="O274" s="323"/>
      <c r="P274" s="323"/>
      <c r="Q274" s="323"/>
    </row>
    <row r="275" spans="1:17" ht="15">
      <c r="A275" s="323"/>
      <c r="B275" s="323"/>
      <c r="C275" s="323"/>
      <c r="D275" s="323"/>
      <c r="E275" s="323"/>
      <c r="F275" s="323"/>
      <c r="G275" s="323"/>
      <c r="H275" s="323"/>
      <c r="I275" s="323"/>
      <c r="J275" s="323"/>
      <c r="K275" s="323"/>
      <c r="L275" s="323"/>
      <c r="M275" s="323"/>
      <c r="N275" s="323"/>
      <c r="O275" s="323"/>
      <c r="P275" s="323"/>
      <c r="Q275" s="323"/>
    </row>
    <row r="276" spans="1:17" ht="15">
      <c r="A276" s="323"/>
      <c r="B276" s="323"/>
      <c r="C276" s="323"/>
      <c r="D276" s="323"/>
      <c r="E276" s="323"/>
      <c r="F276" s="323"/>
      <c r="G276" s="323"/>
      <c r="H276" s="323"/>
      <c r="I276" s="323"/>
      <c r="J276" s="323"/>
      <c r="K276" s="323"/>
      <c r="L276" s="323"/>
      <c r="M276" s="323"/>
      <c r="N276" s="323"/>
      <c r="O276" s="323"/>
      <c r="P276" s="323"/>
      <c r="Q276" s="323"/>
    </row>
    <row r="277" spans="1:17" ht="15">
      <c r="A277" s="323"/>
      <c r="B277" s="323"/>
      <c r="C277" s="323"/>
      <c r="D277" s="323"/>
      <c r="E277" s="323"/>
      <c r="F277" s="323"/>
      <c r="G277" s="323"/>
      <c r="H277" s="323"/>
      <c r="I277" s="323"/>
      <c r="J277" s="323"/>
      <c r="K277" s="323"/>
      <c r="L277" s="323"/>
      <c r="M277" s="323"/>
      <c r="N277" s="323"/>
      <c r="O277" s="323"/>
      <c r="P277" s="323"/>
      <c r="Q277" s="323"/>
    </row>
    <row r="278" spans="1:17" ht="15">
      <c r="A278" s="323"/>
      <c r="B278" s="323"/>
      <c r="C278" s="323"/>
      <c r="D278" s="323"/>
      <c r="E278" s="323"/>
      <c r="F278" s="323"/>
      <c r="G278" s="323"/>
      <c r="H278" s="323"/>
      <c r="I278" s="323"/>
      <c r="J278" s="323"/>
      <c r="K278" s="323"/>
      <c r="L278" s="323"/>
      <c r="M278" s="323"/>
      <c r="N278" s="323"/>
      <c r="O278" s="323"/>
      <c r="P278" s="323"/>
      <c r="Q278" s="323"/>
    </row>
    <row r="279" spans="1:17" ht="15">
      <c r="A279" s="323"/>
      <c r="B279" s="323"/>
      <c r="C279" s="323"/>
      <c r="D279" s="323"/>
      <c r="E279" s="323"/>
      <c r="F279" s="323"/>
      <c r="G279" s="323"/>
      <c r="H279" s="323"/>
      <c r="I279" s="323"/>
      <c r="J279" s="323"/>
      <c r="K279" s="323"/>
      <c r="L279" s="323"/>
      <c r="M279" s="323"/>
      <c r="N279" s="323"/>
      <c r="O279" s="323"/>
      <c r="P279" s="323"/>
      <c r="Q279" s="323"/>
    </row>
    <row r="280" spans="1:17" ht="15">
      <c r="A280" s="323"/>
      <c r="B280" s="323"/>
      <c r="C280" s="323"/>
      <c r="D280" s="323"/>
      <c r="E280" s="323"/>
      <c r="F280" s="323"/>
      <c r="G280" s="323"/>
      <c r="H280" s="323"/>
      <c r="I280" s="323"/>
      <c r="J280" s="323"/>
      <c r="K280" s="323"/>
      <c r="L280" s="323"/>
      <c r="M280" s="323"/>
      <c r="N280" s="323"/>
      <c r="O280" s="323"/>
      <c r="P280" s="323"/>
      <c r="Q280" s="323"/>
    </row>
    <row r="281" spans="1:17" ht="15">
      <c r="A281" s="323"/>
      <c r="B281" s="323"/>
      <c r="C281" s="323"/>
      <c r="D281" s="323"/>
      <c r="E281" s="323"/>
      <c r="F281" s="323"/>
      <c r="G281" s="323"/>
      <c r="H281" s="323"/>
      <c r="I281" s="323"/>
      <c r="J281" s="323"/>
      <c r="K281" s="323"/>
      <c r="L281" s="323"/>
      <c r="M281" s="323"/>
      <c r="N281" s="323"/>
      <c r="O281" s="323"/>
      <c r="P281" s="323"/>
      <c r="Q281" s="323"/>
    </row>
    <row r="282" spans="1:17" ht="15">
      <c r="A282" s="323"/>
      <c r="B282" s="323"/>
      <c r="C282" s="323"/>
      <c r="D282" s="323"/>
      <c r="E282" s="323"/>
      <c r="F282" s="323"/>
      <c r="G282" s="323"/>
      <c r="H282" s="323"/>
      <c r="I282" s="323"/>
      <c r="J282" s="323"/>
      <c r="K282" s="323"/>
      <c r="L282" s="323"/>
      <c r="M282" s="323"/>
      <c r="N282" s="323"/>
      <c r="O282" s="323"/>
      <c r="P282" s="323"/>
      <c r="Q282" s="323"/>
    </row>
    <row r="283" spans="1:17" ht="15">
      <c r="A283" s="323"/>
      <c r="B283" s="323"/>
      <c r="C283" s="323"/>
      <c r="D283" s="323"/>
      <c r="E283" s="323"/>
      <c r="F283" s="323"/>
      <c r="G283" s="323"/>
      <c r="H283" s="323"/>
      <c r="I283" s="323"/>
      <c r="J283" s="323"/>
      <c r="K283" s="323"/>
      <c r="L283" s="323"/>
      <c r="M283" s="323"/>
      <c r="N283" s="323"/>
      <c r="O283" s="323"/>
      <c r="P283" s="323"/>
      <c r="Q283" s="323"/>
    </row>
    <row r="284" spans="1:17" ht="15">
      <c r="A284" s="323"/>
      <c r="B284" s="323"/>
      <c r="C284" s="323"/>
      <c r="D284" s="323"/>
      <c r="E284" s="323"/>
      <c r="F284" s="323"/>
      <c r="G284" s="323"/>
      <c r="H284" s="323"/>
      <c r="I284" s="323"/>
      <c r="J284" s="323"/>
      <c r="K284" s="323"/>
      <c r="L284" s="323"/>
      <c r="M284" s="323"/>
      <c r="N284" s="323"/>
      <c r="O284" s="323"/>
      <c r="P284" s="323"/>
      <c r="Q284" s="323"/>
    </row>
    <row r="285" spans="1:17" ht="15">
      <c r="A285" s="323"/>
      <c r="B285" s="323"/>
      <c r="C285" s="323"/>
      <c r="D285" s="323"/>
      <c r="E285" s="323"/>
      <c r="F285" s="323"/>
      <c r="G285" s="323"/>
      <c r="H285" s="323"/>
      <c r="I285" s="323"/>
      <c r="J285" s="323"/>
      <c r="K285" s="323"/>
      <c r="L285" s="323"/>
      <c r="M285" s="323"/>
      <c r="N285" s="323"/>
      <c r="O285" s="323"/>
      <c r="P285" s="323"/>
      <c r="Q285" s="323"/>
    </row>
    <row r="286" spans="1:17" ht="15">
      <c r="A286" s="323"/>
      <c r="B286" s="323"/>
      <c r="C286" s="323"/>
      <c r="D286" s="323"/>
      <c r="E286" s="323"/>
      <c r="F286" s="323"/>
      <c r="G286" s="323"/>
      <c r="H286" s="323"/>
      <c r="I286" s="323"/>
      <c r="J286" s="323"/>
      <c r="K286" s="323"/>
      <c r="L286" s="323"/>
      <c r="M286" s="323"/>
      <c r="N286" s="323"/>
      <c r="O286" s="323"/>
      <c r="P286" s="323"/>
      <c r="Q286" s="323"/>
    </row>
    <row r="287" spans="1:17" ht="15">
      <c r="A287" s="323"/>
      <c r="B287" s="323"/>
      <c r="C287" s="323"/>
      <c r="D287" s="323"/>
      <c r="E287" s="323"/>
      <c r="F287" s="323"/>
      <c r="G287" s="323"/>
      <c r="H287" s="323"/>
      <c r="I287" s="323"/>
      <c r="J287" s="323"/>
      <c r="K287" s="323"/>
      <c r="L287" s="323"/>
      <c r="M287" s="323"/>
      <c r="N287" s="323"/>
      <c r="O287" s="323"/>
      <c r="P287" s="323"/>
      <c r="Q287" s="323"/>
    </row>
    <row r="288" spans="1:17" ht="15">
      <c r="A288" s="323"/>
      <c r="B288" s="323"/>
      <c r="C288" s="323"/>
      <c r="D288" s="323"/>
      <c r="E288" s="323"/>
      <c r="F288" s="323"/>
      <c r="G288" s="323"/>
      <c r="H288" s="323"/>
      <c r="I288" s="323"/>
      <c r="J288" s="323"/>
      <c r="K288" s="323"/>
      <c r="L288" s="323"/>
      <c r="M288" s="323"/>
      <c r="N288" s="323"/>
      <c r="O288" s="323"/>
      <c r="P288" s="323"/>
      <c r="Q288" s="323"/>
    </row>
    <row r="289" spans="1:17" ht="15">
      <c r="A289" s="323"/>
      <c r="B289" s="323"/>
      <c r="C289" s="323"/>
      <c r="D289" s="323"/>
      <c r="E289" s="323"/>
      <c r="F289" s="323"/>
      <c r="G289" s="323"/>
      <c r="H289" s="323"/>
      <c r="I289" s="323"/>
      <c r="J289" s="323"/>
      <c r="K289" s="323"/>
      <c r="L289" s="323"/>
      <c r="M289" s="323"/>
      <c r="N289" s="323"/>
      <c r="O289" s="323"/>
      <c r="P289" s="323"/>
      <c r="Q289" s="323"/>
    </row>
    <row r="290" spans="1:17" ht="15">
      <c r="A290" s="323"/>
      <c r="B290" s="323"/>
      <c r="C290" s="323"/>
      <c r="D290" s="323"/>
      <c r="E290" s="323"/>
      <c r="F290" s="323"/>
      <c r="G290" s="323"/>
      <c r="H290" s="323"/>
      <c r="I290" s="323"/>
      <c r="J290" s="323"/>
      <c r="K290" s="323"/>
      <c r="L290" s="323"/>
      <c r="M290" s="323"/>
      <c r="N290" s="323"/>
      <c r="O290" s="323"/>
      <c r="P290" s="323"/>
      <c r="Q290" s="323"/>
    </row>
    <row r="291" spans="1:17" ht="15">
      <c r="A291" s="323"/>
      <c r="B291" s="323"/>
      <c r="C291" s="323"/>
      <c r="D291" s="323"/>
      <c r="E291" s="323"/>
      <c r="F291" s="323"/>
      <c r="G291" s="323"/>
      <c r="H291" s="323"/>
      <c r="I291" s="323"/>
      <c r="J291" s="323"/>
      <c r="K291" s="323"/>
      <c r="L291" s="323"/>
      <c r="M291" s="323"/>
      <c r="N291" s="323"/>
      <c r="O291" s="323"/>
      <c r="P291" s="323"/>
      <c r="Q291" s="323"/>
    </row>
    <row r="292" spans="1:17" ht="15">
      <c r="A292" s="323"/>
      <c r="B292" s="323"/>
      <c r="C292" s="323"/>
      <c r="D292" s="323"/>
      <c r="E292" s="323"/>
      <c r="F292" s="323"/>
      <c r="G292" s="323"/>
      <c r="H292" s="323"/>
      <c r="I292" s="323"/>
      <c r="J292" s="323"/>
      <c r="K292" s="323"/>
      <c r="L292" s="323"/>
      <c r="M292" s="323"/>
      <c r="N292" s="323"/>
      <c r="O292" s="323"/>
      <c r="P292" s="323"/>
      <c r="Q292" s="323"/>
    </row>
    <row r="293" spans="1:17" ht="15">
      <c r="A293" s="323"/>
      <c r="B293" s="323"/>
      <c r="C293" s="323"/>
      <c r="D293" s="323"/>
      <c r="E293" s="323"/>
      <c r="F293" s="323"/>
      <c r="G293" s="323"/>
      <c r="H293" s="323"/>
      <c r="I293" s="323"/>
      <c r="J293" s="323"/>
      <c r="K293" s="323"/>
      <c r="L293" s="323"/>
      <c r="M293" s="323"/>
      <c r="N293" s="323"/>
      <c r="O293" s="323"/>
      <c r="P293" s="323"/>
      <c r="Q293" s="323"/>
    </row>
    <row r="294" spans="1:17" ht="15">
      <c r="A294" s="323"/>
      <c r="B294" s="323"/>
      <c r="C294" s="323"/>
      <c r="D294" s="323"/>
      <c r="E294" s="323"/>
      <c r="F294" s="323"/>
      <c r="G294" s="323"/>
      <c r="H294" s="323"/>
      <c r="I294" s="323"/>
      <c r="J294" s="323"/>
      <c r="K294" s="323"/>
      <c r="L294" s="323"/>
      <c r="M294" s="323"/>
      <c r="N294" s="323"/>
      <c r="O294" s="323"/>
      <c r="P294" s="323"/>
      <c r="Q294" s="323"/>
    </row>
    <row r="295" spans="1:17" ht="15">
      <c r="A295" s="323"/>
      <c r="B295" s="323"/>
      <c r="C295" s="323"/>
      <c r="D295" s="323"/>
      <c r="E295" s="323"/>
      <c r="F295" s="323"/>
      <c r="G295" s="323"/>
      <c r="H295" s="323"/>
      <c r="I295" s="323"/>
      <c r="J295" s="323"/>
      <c r="K295" s="323"/>
      <c r="L295" s="323"/>
      <c r="M295" s="323"/>
      <c r="N295" s="323"/>
      <c r="O295" s="323"/>
      <c r="P295" s="323"/>
      <c r="Q295" s="323"/>
    </row>
    <row r="296" spans="1:17" ht="15">
      <c r="A296" s="323"/>
      <c r="B296" s="323"/>
      <c r="C296" s="323"/>
      <c r="D296" s="323"/>
      <c r="E296" s="323"/>
      <c r="F296" s="323"/>
      <c r="G296" s="323"/>
      <c r="H296" s="323"/>
      <c r="I296" s="323"/>
      <c r="J296" s="323"/>
      <c r="K296" s="323"/>
      <c r="L296" s="323"/>
      <c r="M296" s="323"/>
      <c r="N296" s="323"/>
      <c r="O296" s="323"/>
      <c r="P296" s="323"/>
      <c r="Q296" s="323"/>
    </row>
    <row r="297" spans="1:17" ht="15">
      <c r="A297" s="323"/>
      <c r="B297" s="323"/>
      <c r="C297" s="323"/>
      <c r="D297" s="323"/>
      <c r="E297" s="323"/>
      <c r="F297" s="323"/>
      <c r="G297" s="323"/>
      <c r="H297" s="323"/>
      <c r="I297" s="323"/>
      <c r="J297" s="323"/>
      <c r="K297" s="323"/>
      <c r="L297" s="323"/>
      <c r="M297" s="323"/>
      <c r="N297" s="323"/>
      <c r="O297" s="323"/>
      <c r="P297" s="323"/>
      <c r="Q297" s="323"/>
    </row>
    <row r="298" spans="1:17" ht="15">
      <c r="A298" s="323"/>
      <c r="B298" s="323"/>
      <c r="C298" s="323"/>
      <c r="D298" s="323"/>
      <c r="E298" s="323"/>
      <c r="F298" s="323"/>
      <c r="G298" s="323"/>
      <c r="H298" s="323"/>
      <c r="I298" s="323"/>
      <c r="J298" s="323"/>
      <c r="K298" s="323"/>
      <c r="L298" s="323"/>
      <c r="M298" s="323"/>
      <c r="N298" s="323"/>
      <c r="O298" s="323"/>
      <c r="P298" s="323"/>
      <c r="Q298" s="323"/>
    </row>
    <row r="299" spans="1:17" ht="15">
      <c r="A299" s="323"/>
      <c r="B299" s="323"/>
      <c r="C299" s="323"/>
      <c r="D299" s="323"/>
      <c r="E299" s="323"/>
      <c r="F299" s="323"/>
      <c r="G299" s="323"/>
      <c r="H299" s="323"/>
      <c r="I299" s="323"/>
      <c r="J299" s="323"/>
      <c r="K299" s="323"/>
      <c r="L299" s="323"/>
      <c r="M299" s="323"/>
      <c r="N299" s="323"/>
      <c r="O299" s="323"/>
      <c r="P299" s="323"/>
      <c r="Q299" s="323"/>
    </row>
    <row r="300" spans="1:17" ht="15">
      <c r="A300" s="323"/>
      <c r="B300" s="323"/>
      <c r="C300" s="323"/>
      <c r="D300" s="323"/>
      <c r="E300" s="323"/>
      <c r="F300" s="323"/>
      <c r="G300" s="323"/>
      <c r="H300" s="323"/>
      <c r="I300" s="323"/>
      <c r="J300" s="323"/>
      <c r="K300" s="323"/>
      <c r="L300" s="323"/>
      <c r="M300" s="323"/>
      <c r="N300" s="323"/>
      <c r="O300" s="323"/>
      <c r="P300" s="323"/>
      <c r="Q300" s="323"/>
    </row>
    <row r="301" spans="1:17" ht="15">
      <c r="A301" s="323"/>
      <c r="B301" s="323"/>
      <c r="C301" s="323"/>
      <c r="D301" s="323"/>
      <c r="E301" s="323"/>
      <c r="F301" s="323"/>
      <c r="G301" s="323"/>
      <c r="H301" s="323"/>
      <c r="I301" s="323"/>
      <c r="J301" s="323"/>
      <c r="K301" s="323"/>
      <c r="L301" s="323"/>
      <c r="M301" s="323"/>
      <c r="N301" s="323"/>
      <c r="O301" s="323"/>
      <c r="P301" s="323"/>
      <c r="Q301" s="323"/>
    </row>
    <row r="302" spans="1:17" ht="15">
      <c r="A302" s="323"/>
      <c r="B302" s="323"/>
      <c r="C302" s="323"/>
      <c r="D302" s="323"/>
      <c r="E302" s="323"/>
      <c r="F302" s="323"/>
      <c r="G302" s="323"/>
      <c r="H302" s="323"/>
      <c r="I302" s="323"/>
      <c r="J302" s="323"/>
      <c r="K302" s="323"/>
      <c r="L302" s="323"/>
      <c r="M302" s="323"/>
      <c r="N302" s="323"/>
      <c r="O302" s="323"/>
      <c r="P302" s="323"/>
      <c r="Q302" s="323"/>
    </row>
    <row r="303" spans="1:17" ht="15">
      <c r="A303" s="323"/>
      <c r="B303" s="323"/>
      <c r="C303" s="323"/>
      <c r="D303" s="323"/>
      <c r="E303" s="323"/>
      <c r="F303" s="323"/>
      <c r="G303" s="323"/>
      <c r="H303" s="323"/>
      <c r="I303" s="323"/>
      <c r="J303" s="323"/>
      <c r="K303" s="323"/>
      <c r="L303" s="323"/>
      <c r="M303" s="323"/>
      <c r="N303" s="323"/>
      <c r="O303" s="323"/>
      <c r="P303" s="323"/>
      <c r="Q303" s="323"/>
    </row>
    <row r="304" spans="1:17" ht="15">
      <c r="A304" s="323"/>
      <c r="B304" s="323"/>
      <c r="C304" s="323"/>
      <c r="D304" s="323"/>
      <c r="E304" s="323"/>
      <c r="F304" s="323"/>
      <c r="G304" s="323"/>
      <c r="H304" s="323"/>
      <c r="I304" s="323"/>
      <c r="J304" s="323"/>
      <c r="K304" s="323"/>
      <c r="L304" s="323"/>
      <c r="M304" s="323"/>
      <c r="N304" s="323"/>
      <c r="O304" s="323"/>
      <c r="P304" s="323"/>
      <c r="Q304" s="323"/>
    </row>
    <row r="305" spans="1:17" ht="15">
      <c r="A305" s="323"/>
      <c r="B305" s="323"/>
      <c r="C305" s="323"/>
      <c r="D305" s="323"/>
      <c r="E305" s="323"/>
      <c r="F305" s="323"/>
      <c r="G305" s="323"/>
      <c r="H305" s="323"/>
      <c r="I305" s="323"/>
      <c r="J305" s="323"/>
      <c r="K305" s="323"/>
      <c r="L305" s="323"/>
      <c r="M305" s="323"/>
      <c r="N305" s="323"/>
      <c r="O305" s="323"/>
      <c r="P305" s="323"/>
      <c r="Q305" s="323"/>
    </row>
    <row r="306" spans="1:17" ht="15">
      <c r="A306" s="323"/>
      <c r="B306" s="323"/>
      <c r="C306" s="323"/>
      <c r="D306" s="323"/>
      <c r="E306" s="323"/>
      <c r="F306" s="323"/>
      <c r="G306" s="323"/>
      <c r="H306" s="323"/>
      <c r="I306" s="323"/>
      <c r="J306" s="323"/>
      <c r="K306" s="323"/>
      <c r="L306" s="323"/>
      <c r="M306" s="323"/>
      <c r="N306" s="323"/>
      <c r="O306" s="323"/>
      <c r="P306" s="323"/>
      <c r="Q306" s="323"/>
    </row>
    <row r="307" spans="1:17" ht="15">
      <c r="A307" s="323"/>
      <c r="B307" s="323"/>
      <c r="C307" s="323"/>
      <c r="D307" s="323"/>
      <c r="E307" s="323"/>
      <c r="F307" s="323"/>
      <c r="G307" s="323"/>
      <c r="H307" s="323"/>
      <c r="I307" s="323"/>
      <c r="J307" s="323"/>
      <c r="K307" s="323"/>
      <c r="L307" s="323"/>
      <c r="M307" s="323"/>
      <c r="N307" s="323"/>
      <c r="O307" s="323"/>
      <c r="P307" s="323"/>
      <c r="Q307" s="323"/>
    </row>
    <row r="308" spans="1:17" ht="15">
      <c r="A308" s="323"/>
      <c r="B308" s="323"/>
      <c r="C308" s="323"/>
      <c r="D308" s="323"/>
      <c r="E308" s="323"/>
      <c r="F308" s="323"/>
      <c r="G308" s="323"/>
      <c r="H308" s="323"/>
      <c r="I308" s="323"/>
      <c r="J308" s="323"/>
      <c r="K308" s="323"/>
      <c r="L308" s="323"/>
      <c r="M308" s="323"/>
      <c r="N308" s="323"/>
      <c r="O308" s="323"/>
      <c r="P308" s="323"/>
      <c r="Q308" s="323"/>
    </row>
    <row r="309" spans="1:17" ht="15">
      <c r="A309" s="323"/>
      <c r="B309" s="323"/>
      <c r="C309" s="323"/>
      <c r="D309" s="323"/>
      <c r="E309" s="323"/>
      <c r="F309" s="323"/>
      <c r="G309" s="323"/>
      <c r="H309" s="323"/>
      <c r="I309" s="323"/>
      <c r="J309" s="323"/>
      <c r="K309" s="323"/>
      <c r="L309" s="323"/>
      <c r="M309" s="323"/>
      <c r="N309" s="323"/>
      <c r="O309" s="323"/>
      <c r="P309" s="323"/>
      <c r="Q309" s="323"/>
    </row>
    <row r="310" spans="1:17" ht="15">
      <c r="A310" s="323"/>
      <c r="B310" s="323"/>
      <c r="C310" s="323"/>
      <c r="D310" s="323"/>
      <c r="E310" s="323"/>
      <c r="F310" s="323"/>
      <c r="G310" s="323"/>
      <c r="H310" s="323"/>
      <c r="I310" s="323"/>
      <c r="J310" s="323"/>
      <c r="K310" s="323"/>
      <c r="L310" s="323"/>
      <c r="M310" s="323"/>
      <c r="N310" s="323"/>
      <c r="O310" s="323"/>
      <c r="P310" s="323"/>
      <c r="Q310" s="323"/>
    </row>
    <row r="311" spans="1:17" ht="15">
      <c r="A311" s="323"/>
      <c r="B311" s="323"/>
      <c r="C311" s="323"/>
      <c r="D311" s="323"/>
      <c r="E311" s="323"/>
      <c r="F311" s="323"/>
      <c r="G311" s="323"/>
      <c r="H311" s="323"/>
      <c r="I311" s="323"/>
      <c r="J311" s="323"/>
      <c r="K311" s="323"/>
      <c r="L311" s="323"/>
      <c r="M311" s="323"/>
      <c r="N311" s="323"/>
      <c r="O311" s="323"/>
      <c r="P311" s="323"/>
      <c r="Q311" s="323"/>
    </row>
    <row r="312" spans="1:17" ht="15">
      <c r="A312" s="323"/>
      <c r="B312" s="323"/>
      <c r="C312" s="323"/>
      <c r="D312" s="323"/>
      <c r="E312" s="323"/>
      <c r="F312" s="323"/>
      <c r="G312" s="323"/>
      <c r="H312" s="323"/>
      <c r="I312" s="323"/>
      <c r="J312" s="323"/>
      <c r="K312" s="323"/>
      <c r="L312" s="323"/>
      <c r="M312" s="323"/>
      <c r="N312" s="323"/>
      <c r="O312" s="323"/>
      <c r="P312" s="323"/>
      <c r="Q312" s="323"/>
    </row>
    <row r="313" spans="1:17" ht="15">
      <c r="A313" s="323"/>
      <c r="B313" s="323"/>
      <c r="C313" s="323"/>
      <c r="D313" s="323"/>
      <c r="E313" s="323"/>
      <c r="F313" s="323"/>
      <c r="G313" s="323"/>
      <c r="H313" s="323"/>
      <c r="I313" s="323"/>
      <c r="J313" s="323"/>
      <c r="K313" s="323"/>
      <c r="L313" s="323"/>
      <c r="M313" s="323"/>
      <c r="N313" s="323"/>
      <c r="O313" s="323"/>
      <c r="P313" s="323"/>
      <c r="Q313" s="323"/>
    </row>
    <row r="314" spans="1:17" ht="15">
      <c r="A314" s="323"/>
      <c r="B314" s="323"/>
      <c r="C314" s="323"/>
      <c r="D314" s="323"/>
      <c r="E314" s="323"/>
      <c r="F314" s="323"/>
      <c r="G314" s="323"/>
      <c r="H314" s="323"/>
      <c r="I314" s="323"/>
      <c r="J314" s="323"/>
      <c r="K314" s="323"/>
      <c r="L314" s="323"/>
      <c r="M314" s="323"/>
      <c r="N314" s="323"/>
      <c r="O314" s="323"/>
      <c r="P314" s="323"/>
      <c r="Q314" s="323"/>
    </row>
  </sheetData>
  <sheetProtection/>
  <mergeCells count="300">
    <mergeCell ref="D173:F173"/>
    <mergeCell ref="G173:I173"/>
    <mergeCell ref="J173:L173"/>
    <mergeCell ref="M173:O173"/>
    <mergeCell ref="P168:Q168"/>
    <mergeCell ref="A161:Q161"/>
    <mergeCell ref="A163:Q163"/>
    <mergeCell ref="P167:Q167"/>
    <mergeCell ref="A167:C167"/>
    <mergeCell ref="A168:C168"/>
    <mergeCell ref="A160:C160"/>
    <mergeCell ref="P160:Q160"/>
    <mergeCell ref="P162:Q162"/>
    <mergeCell ref="P164:Q164"/>
    <mergeCell ref="P165:Q165"/>
    <mergeCell ref="P166:Q166"/>
    <mergeCell ref="A164:C164"/>
    <mergeCell ref="A165:C165"/>
    <mergeCell ref="A166:C166"/>
    <mergeCell ref="A107:B108"/>
    <mergeCell ref="A109:B110"/>
    <mergeCell ref="A115:B116"/>
    <mergeCell ref="A127:C127"/>
    <mergeCell ref="A144:C144"/>
    <mergeCell ref="P107:Q107"/>
    <mergeCell ref="P108:Q108"/>
    <mergeCell ref="P109:Q109"/>
    <mergeCell ref="P110:Q110"/>
    <mergeCell ref="A111:B112"/>
    <mergeCell ref="A13:R13"/>
    <mergeCell ref="A14:R14"/>
    <mergeCell ref="A15:R15"/>
    <mergeCell ref="D19:E19"/>
    <mergeCell ref="F19:G19"/>
    <mergeCell ref="H19:I19"/>
    <mergeCell ref="J19:K19"/>
    <mergeCell ref="L19:M19"/>
    <mergeCell ref="N19:O19"/>
    <mergeCell ref="Q19:R19"/>
    <mergeCell ref="J20:K30"/>
    <mergeCell ref="L20:M30"/>
    <mergeCell ref="A20:A30"/>
    <mergeCell ref="B20:B30"/>
    <mergeCell ref="C20:C30"/>
    <mergeCell ref="D20:E30"/>
    <mergeCell ref="N20:O30"/>
    <mergeCell ref="P20:P30"/>
    <mergeCell ref="Q20:R30"/>
    <mergeCell ref="A39:B41"/>
    <mergeCell ref="C39:C41"/>
    <mergeCell ref="D39:R39"/>
    <mergeCell ref="D40:I40"/>
    <mergeCell ref="J40:O40"/>
    <mergeCell ref="F20:G30"/>
    <mergeCell ref="H20:I30"/>
    <mergeCell ref="P40:R40"/>
    <mergeCell ref="D41:E41"/>
    <mergeCell ref="F41:G41"/>
    <mergeCell ref="H41:I41"/>
    <mergeCell ref="J41:K41"/>
    <mergeCell ref="L41:M41"/>
    <mergeCell ref="N41:O41"/>
    <mergeCell ref="L42:M42"/>
    <mergeCell ref="N42:O42"/>
    <mergeCell ref="D43:E43"/>
    <mergeCell ref="F43:G43"/>
    <mergeCell ref="H42:I42"/>
    <mergeCell ref="J42:K42"/>
    <mergeCell ref="D44:E44"/>
    <mergeCell ref="F44:G44"/>
    <mergeCell ref="D42:E42"/>
    <mergeCell ref="F42:G42"/>
    <mergeCell ref="D47:E47"/>
    <mergeCell ref="F47:G47"/>
    <mergeCell ref="F45:G45"/>
    <mergeCell ref="D46:E46"/>
    <mergeCell ref="F46:G46"/>
    <mergeCell ref="D48:E48"/>
    <mergeCell ref="F48:G48"/>
    <mergeCell ref="D49:E49"/>
    <mergeCell ref="F49:G49"/>
    <mergeCell ref="D50:E50"/>
    <mergeCell ref="F50:G50"/>
    <mergeCell ref="D51:E51"/>
    <mergeCell ref="F51:G51"/>
    <mergeCell ref="D56:E56"/>
    <mergeCell ref="F56:G56"/>
    <mergeCell ref="D57:E57"/>
    <mergeCell ref="F57:G57"/>
    <mergeCell ref="D52:E52"/>
    <mergeCell ref="F52:G52"/>
    <mergeCell ref="D53:E53"/>
    <mergeCell ref="F53:G53"/>
    <mergeCell ref="D54:E54"/>
    <mergeCell ref="F54:G54"/>
    <mergeCell ref="P67:Q68"/>
    <mergeCell ref="A69:C69"/>
    <mergeCell ref="P69:Q69"/>
    <mergeCell ref="D61:E61"/>
    <mergeCell ref="F61:G61"/>
    <mergeCell ref="D62:E62"/>
    <mergeCell ref="F62:G62"/>
    <mergeCell ref="A42:B63"/>
    <mergeCell ref="D55:E55"/>
    <mergeCell ref="F55:G55"/>
    <mergeCell ref="C42:C63"/>
    <mergeCell ref="D45:E45"/>
    <mergeCell ref="A67:C68"/>
    <mergeCell ref="D67:O67"/>
    <mergeCell ref="D59:E59"/>
    <mergeCell ref="F59:G59"/>
    <mergeCell ref="D60:E60"/>
    <mergeCell ref="F60:G60"/>
    <mergeCell ref="D58:E58"/>
    <mergeCell ref="F58:G58"/>
    <mergeCell ref="P70:Q70"/>
    <mergeCell ref="A71:C71"/>
    <mergeCell ref="P71:Q71"/>
    <mergeCell ref="A72:C72"/>
    <mergeCell ref="P72:Q72"/>
    <mergeCell ref="A70:C70"/>
    <mergeCell ref="A80:R80"/>
    <mergeCell ref="A90:C91"/>
    <mergeCell ref="D90:O90"/>
    <mergeCell ref="P90:Q91"/>
    <mergeCell ref="A92:C92"/>
    <mergeCell ref="P92:Q92"/>
    <mergeCell ref="A97:R97"/>
    <mergeCell ref="A103:B104"/>
    <mergeCell ref="C103:C104"/>
    <mergeCell ref="D103:O103"/>
    <mergeCell ref="P103:Q104"/>
    <mergeCell ref="A105:B106"/>
    <mergeCell ref="P105:Q105"/>
    <mergeCell ref="P106:Q106"/>
    <mergeCell ref="P111:Q111"/>
    <mergeCell ref="P112:Q112"/>
    <mergeCell ref="A113:B114"/>
    <mergeCell ref="P113:Q113"/>
    <mergeCell ref="P114:Q114"/>
    <mergeCell ref="P115:Q115"/>
    <mergeCell ref="P116:Q116"/>
    <mergeCell ref="A117:B117"/>
    <mergeCell ref="P117:Q117"/>
    <mergeCell ref="A122:R122"/>
    <mergeCell ref="A125:C126"/>
    <mergeCell ref="D125:O125"/>
    <mergeCell ref="P125:Q126"/>
    <mergeCell ref="P127:Q127"/>
    <mergeCell ref="A128:C128"/>
    <mergeCell ref="P128:Q128"/>
    <mergeCell ref="A137:R137"/>
    <mergeCell ref="A142:C143"/>
    <mergeCell ref="D142:O142"/>
    <mergeCell ref="P142:Q143"/>
    <mergeCell ref="P144:Q144"/>
    <mergeCell ref="A145:C145"/>
    <mergeCell ref="P145:Q145"/>
    <mergeCell ref="A148:C148"/>
    <mergeCell ref="P148:Q148"/>
    <mergeCell ref="A147:C147"/>
    <mergeCell ref="P147:Q147"/>
    <mergeCell ref="A146:C146"/>
    <mergeCell ref="P146:Q146"/>
    <mergeCell ref="A149:C149"/>
    <mergeCell ref="P149:Q149"/>
    <mergeCell ref="A150:C150"/>
    <mergeCell ref="P150:Q150"/>
    <mergeCell ref="A151:C151"/>
    <mergeCell ref="P151:Q151"/>
    <mergeCell ref="A152:C152"/>
    <mergeCell ref="P152:Q152"/>
    <mergeCell ref="A153:C153"/>
    <mergeCell ref="P153:Q153"/>
    <mergeCell ref="A154:C154"/>
    <mergeCell ref="P154:Q154"/>
    <mergeCell ref="P169:Q169"/>
    <mergeCell ref="A170:C170"/>
    <mergeCell ref="P170:Q170"/>
    <mergeCell ref="P159:Q159"/>
    <mergeCell ref="A155:C155"/>
    <mergeCell ref="P155:Q155"/>
    <mergeCell ref="A156:C156"/>
    <mergeCell ref="P156:Q156"/>
    <mergeCell ref="A158:C158"/>
    <mergeCell ref="P158:Q158"/>
    <mergeCell ref="B182:C182"/>
    <mergeCell ref="J181:K181"/>
    <mergeCell ref="L181:M181"/>
    <mergeCell ref="A159:C159"/>
    <mergeCell ref="A162:C162"/>
    <mergeCell ref="A169:C169"/>
    <mergeCell ref="A174:R174"/>
    <mergeCell ref="B180:C180"/>
    <mergeCell ref="D180:E180"/>
    <mergeCell ref="F180:M180"/>
    <mergeCell ref="N180:R180"/>
    <mergeCell ref="A181:E181"/>
    <mergeCell ref="F181:G181"/>
    <mergeCell ref="H181:I181"/>
    <mergeCell ref="F183:G183"/>
    <mergeCell ref="H183:I183"/>
    <mergeCell ref="J183:K183"/>
    <mergeCell ref="N181:O181"/>
    <mergeCell ref="J182:K182"/>
    <mergeCell ref="L182:M182"/>
    <mergeCell ref="N182:O182"/>
    <mergeCell ref="D182:E182"/>
    <mergeCell ref="F182:G182"/>
    <mergeCell ref="H182:I182"/>
    <mergeCell ref="J184:K184"/>
    <mergeCell ref="L184:M184"/>
    <mergeCell ref="N184:O184"/>
    <mergeCell ref="L183:M183"/>
    <mergeCell ref="N183:O183"/>
    <mergeCell ref="B183:C183"/>
    <mergeCell ref="D183:E183"/>
    <mergeCell ref="B184:C184"/>
    <mergeCell ref="D184:E184"/>
    <mergeCell ref="F184:G184"/>
    <mergeCell ref="H184:I184"/>
    <mergeCell ref="N186:O186"/>
    <mergeCell ref="B185:C185"/>
    <mergeCell ref="D185:E185"/>
    <mergeCell ref="F185:G185"/>
    <mergeCell ref="H185:I185"/>
    <mergeCell ref="J185:K185"/>
    <mergeCell ref="L185:M185"/>
    <mergeCell ref="N185:O185"/>
    <mergeCell ref="B186:C186"/>
    <mergeCell ref="F187:G187"/>
    <mergeCell ref="H187:I187"/>
    <mergeCell ref="J187:K187"/>
    <mergeCell ref="L187:M187"/>
    <mergeCell ref="D186:E186"/>
    <mergeCell ref="F186:G186"/>
    <mergeCell ref="H186:I186"/>
    <mergeCell ref="J186:K186"/>
    <mergeCell ref="L186:M186"/>
    <mergeCell ref="N187:O187"/>
    <mergeCell ref="B188:C188"/>
    <mergeCell ref="D188:E188"/>
    <mergeCell ref="F188:G188"/>
    <mergeCell ref="H188:I188"/>
    <mergeCell ref="J188:K188"/>
    <mergeCell ref="L188:M188"/>
    <mergeCell ref="N188:O188"/>
    <mergeCell ref="B187:C187"/>
    <mergeCell ref="D187:E187"/>
    <mergeCell ref="A191:R191"/>
    <mergeCell ref="B196:D196"/>
    <mergeCell ref="E196:H196"/>
    <mergeCell ref="I196:M196"/>
    <mergeCell ref="N196:Q196"/>
    <mergeCell ref="B197:D197"/>
    <mergeCell ref="E197:H197"/>
    <mergeCell ref="I197:M197"/>
    <mergeCell ref="N197:Q197"/>
    <mergeCell ref="B198:D198"/>
    <mergeCell ref="E198:H198"/>
    <mergeCell ref="I198:M198"/>
    <mergeCell ref="N198:Q198"/>
    <mergeCell ref="B199:D199"/>
    <mergeCell ref="E199:H199"/>
    <mergeCell ref="I199:M199"/>
    <mergeCell ref="N199:Q199"/>
    <mergeCell ref="B200:D200"/>
    <mergeCell ref="E200:H200"/>
    <mergeCell ref="I200:M200"/>
    <mergeCell ref="N200:Q200"/>
    <mergeCell ref="A204:R204"/>
    <mergeCell ref="B209:D209"/>
    <mergeCell ref="E209:H209"/>
    <mergeCell ref="I209:M209"/>
    <mergeCell ref="N209:Q209"/>
    <mergeCell ref="B210:D210"/>
    <mergeCell ref="E210:H210"/>
    <mergeCell ref="I210:M210"/>
    <mergeCell ref="N210:Q210"/>
    <mergeCell ref="B211:D211"/>
    <mergeCell ref="E211:H211"/>
    <mergeCell ref="I211:M211"/>
    <mergeCell ref="N211:Q211"/>
    <mergeCell ref="B212:D212"/>
    <mergeCell ref="E212:H212"/>
    <mergeCell ref="I212:M212"/>
    <mergeCell ref="K247:M247"/>
    <mergeCell ref="A221:Q221"/>
    <mergeCell ref="A225:Q225"/>
    <mergeCell ref="N212:Q212"/>
    <mergeCell ref="A157:C157"/>
    <mergeCell ref="P157:Q157"/>
    <mergeCell ref="A16:R16"/>
    <mergeCell ref="B251:E251"/>
    <mergeCell ref="A231:Q231"/>
    <mergeCell ref="A236:Q236"/>
    <mergeCell ref="A240:Q240"/>
    <mergeCell ref="A242:Q242"/>
    <mergeCell ref="A243:Q243"/>
    <mergeCell ref="B247:E247"/>
  </mergeCells>
  <printOptions/>
  <pageMargins left="0" right="0" top="0" bottom="0" header="0.15748031496062992" footer="0.1574803149606299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71"/>
  <sheetViews>
    <sheetView zoomScaleSheetLayoutView="100" zoomScalePageLayoutView="0" workbookViewId="0" topLeftCell="A1">
      <selection activeCell="B97" sqref="B97"/>
    </sheetView>
  </sheetViews>
  <sheetFormatPr defaultColWidth="9.140625" defaultRowHeight="15"/>
  <cols>
    <col min="1" max="1" width="9.140625" style="238" customWidth="1"/>
    <col min="2" max="2" width="52.28125" style="238" customWidth="1"/>
    <col min="3" max="3" width="15.8515625" style="238" customWidth="1"/>
    <col min="4" max="4" width="20.00390625" style="238" customWidth="1"/>
    <col min="5" max="5" width="17.28125" style="238" customWidth="1"/>
    <col min="6" max="6" width="15.28125" style="238" customWidth="1"/>
    <col min="7" max="7" width="15.140625" style="238" customWidth="1"/>
    <col min="8" max="8" width="12.421875" style="238" customWidth="1"/>
    <col min="9" max="9" width="13.421875" style="238" customWidth="1"/>
    <col min="10" max="10" width="11.28125" style="238" customWidth="1"/>
    <col min="11" max="11" width="9.8515625" style="238" customWidth="1"/>
    <col min="12" max="12" width="11.00390625" style="238" customWidth="1"/>
    <col min="13" max="13" width="10.8515625" style="238" customWidth="1"/>
    <col min="14" max="14" width="11.421875" style="238" customWidth="1"/>
    <col min="15" max="16384" width="9.140625" style="238" customWidth="1"/>
  </cols>
  <sheetData>
    <row r="1" ht="11.25" customHeight="1">
      <c r="G1" s="239" t="s">
        <v>376</v>
      </c>
    </row>
    <row r="2" ht="9" customHeight="1">
      <c r="G2" s="239" t="s">
        <v>1</v>
      </c>
    </row>
    <row r="3" ht="9.75" customHeight="1">
      <c r="G3" s="239" t="s">
        <v>2</v>
      </c>
    </row>
    <row r="4" ht="9.75" customHeight="1">
      <c r="G4" s="239" t="s">
        <v>3</v>
      </c>
    </row>
    <row r="5" ht="9" customHeight="1">
      <c r="G5" s="239" t="s">
        <v>4</v>
      </c>
    </row>
    <row r="6" ht="10.5" customHeight="1">
      <c r="G6" s="239" t="s">
        <v>5</v>
      </c>
    </row>
    <row r="7" ht="9" customHeight="1">
      <c r="G7" s="239" t="s">
        <v>6</v>
      </c>
    </row>
    <row r="8" ht="9.75" customHeight="1">
      <c r="G8" s="239" t="s">
        <v>7</v>
      </c>
    </row>
    <row r="9" ht="9" customHeight="1">
      <c r="G9" s="239" t="s">
        <v>8</v>
      </c>
    </row>
    <row r="10" ht="9.75" customHeight="1">
      <c r="G10" s="239" t="s">
        <v>9</v>
      </c>
    </row>
    <row r="11" spans="2:4" s="210" customFormat="1" ht="15.75">
      <c r="B11" s="240"/>
      <c r="C11" s="241" t="s">
        <v>377</v>
      </c>
      <c r="D11" s="240"/>
    </row>
    <row r="12" spans="2:4" s="210" customFormat="1" ht="15.75">
      <c r="B12" s="240"/>
      <c r="C12" s="241" t="s">
        <v>378</v>
      </c>
      <c r="D12" s="240"/>
    </row>
    <row r="13" spans="1:7" s="210" customFormat="1" ht="33" customHeight="1">
      <c r="A13" s="678" t="s">
        <v>379</v>
      </c>
      <c r="B13" s="678"/>
      <c r="C13" s="678"/>
      <c r="D13" s="678"/>
      <c r="E13" s="678"/>
      <c r="F13" s="678"/>
      <c r="G13" s="678"/>
    </row>
    <row r="14" spans="1:7" s="210" customFormat="1" ht="18.75" customHeight="1">
      <c r="A14" s="678" t="s">
        <v>500</v>
      </c>
      <c r="B14" s="678"/>
      <c r="C14" s="678"/>
      <c r="D14" s="678"/>
      <c r="E14" s="678"/>
      <c r="F14" s="678"/>
      <c r="G14" s="678"/>
    </row>
    <row r="15" spans="1:7" s="210" customFormat="1" ht="15.75">
      <c r="A15" s="242"/>
      <c r="B15" s="242"/>
      <c r="C15" s="242"/>
      <c r="D15" s="242"/>
      <c r="E15" s="242"/>
      <c r="F15" s="242"/>
      <c r="G15" s="242"/>
    </row>
    <row r="16" spans="2:4" s="210" customFormat="1" ht="15.75">
      <c r="B16" s="240"/>
      <c r="C16" s="241" t="s">
        <v>487</v>
      </c>
      <c r="D16" s="240"/>
    </row>
    <row r="17" spans="2:4" s="210" customFormat="1" ht="15.75">
      <c r="B17" s="240"/>
      <c r="C17" s="241"/>
      <c r="D17" s="240"/>
    </row>
    <row r="18" spans="1:3" s="210" customFormat="1" ht="17.25" customHeight="1">
      <c r="A18" s="243" t="s">
        <v>380</v>
      </c>
      <c r="B18" s="244"/>
      <c r="C18" s="245" t="s">
        <v>437</v>
      </c>
    </row>
    <row r="19" s="210" customFormat="1" ht="12.75" hidden="1">
      <c r="B19" s="246"/>
    </row>
    <row r="20" s="210" customFormat="1" ht="12.75">
      <c r="B20" s="246"/>
    </row>
    <row r="21" s="247" customFormat="1" ht="15">
      <c r="A21" s="247" t="s">
        <v>381</v>
      </c>
    </row>
    <row r="22" s="247" customFormat="1" ht="15">
      <c r="A22" s="247" t="s">
        <v>382</v>
      </c>
    </row>
    <row r="23" spans="1:7" ht="39" customHeight="1">
      <c r="A23" s="679" t="s">
        <v>383</v>
      </c>
      <c r="B23" s="680"/>
      <c r="C23" s="249" t="s">
        <v>16</v>
      </c>
      <c r="D23" s="249" t="s">
        <v>384</v>
      </c>
      <c r="E23" s="681" t="s">
        <v>385</v>
      </c>
      <c r="F23" s="681"/>
      <c r="G23" s="681"/>
    </row>
    <row r="24" spans="1:7" ht="21.75" customHeight="1">
      <c r="A24" s="682" t="s">
        <v>386</v>
      </c>
      <c r="B24" s="683"/>
      <c r="C24" s="683"/>
      <c r="D24" s="683"/>
      <c r="E24" s="683"/>
      <c r="F24" s="683"/>
      <c r="G24" s="684"/>
    </row>
    <row r="25" spans="1:7" ht="64.5" customHeight="1">
      <c r="A25" s="685" t="s">
        <v>387</v>
      </c>
      <c r="B25" s="686"/>
      <c r="C25" s="250" t="s">
        <v>107</v>
      </c>
      <c r="D25" s="258">
        <v>301</v>
      </c>
      <c r="E25" s="258">
        <v>301</v>
      </c>
      <c r="F25" s="258">
        <v>301</v>
      </c>
      <c r="G25" s="258">
        <f>G26</f>
        <v>301</v>
      </c>
    </row>
    <row r="26" spans="1:7" ht="12.75">
      <c r="A26" s="685" t="s">
        <v>388</v>
      </c>
      <c r="B26" s="686"/>
      <c r="C26" s="250" t="s">
        <v>107</v>
      </c>
      <c r="D26" s="258">
        <v>301</v>
      </c>
      <c r="E26" s="258">
        <f>'мун.задание'!D70</f>
        <v>301</v>
      </c>
      <c r="F26" s="258">
        <f>'мун.задание'!E70</f>
        <v>301</v>
      </c>
      <c r="G26" s="258">
        <v>301</v>
      </c>
    </row>
    <row r="27" spans="1:7" ht="15" customHeight="1">
      <c r="A27" s="685" t="s">
        <v>389</v>
      </c>
      <c r="B27" s="686"/>
      <c r="C27" s="250" t="s">
        <v>107</v>
      </c>
      <c r="D27" s="258">
        <v>301</v>
      </c>
      <c r="E27" s="258">
        <f>'мун.задание'!D71</f>
        <v>301</v>
      </c>
      <c r="F27" s="258">
        <f>'мун.задание'!E71</f>
        <v>301</v>
      </c>
      <c r="G27" s="258">
        <v>301</v>
      </c>
    </row>
    <row r="28" spans="1:7" ht="15" customHeight="1">
      <c r="A28" s="685" t="s">
        <v>390</v>
      </c>
      <c r="B28" s="686"/>
      <c r="C28" s="250" t="s">
        <v>107</v>
      </c>
      <c r="D28" s="258">
        <v>301</v>
      </c>
      <c r="E28" s="258">
        <f>'мун.задание'!D72</f>
        <v>301</v>
      </c>
      <c r="F28" s="258">
        <f>'мун.задание'!E72</f>
        <v>301</v>
      </c>
      <c r="G28" s="258">
        <v>301</v>
      </c>
    </row>
    <row r="29" spans="1:7" ht="22.5" customHeight="1">
      <c r="A29" s="682" t="s">
        <v>391</v>
      </c>
      <c r="B29" s="683"/>
      <c r="C29" s="683"/>
      <c r="D29" s="683"/>
      <c r="E29" s="683"/>
      <c r="F29" s="683"/>
      <c r="G29" s="684"/>
    </row>
    <row r="30" spans="1:7" ht="63" customHeight="1">
      <c r="A30" s="685" t="s">
        <v>392</v>
      </c>
      <c r="B30" s="686"/>
      <c r="C30" s="250" t="s">
        <v>107</v>
      </c>
      <c r="D30" s="258">
        <v>301</v>
      </c>
      <c r="E30" s="258">
        <v>301</v>
      </c>
      <c r="F30" s="258">
        <v>301</v>
      </c>
      <c r="G30" s="258">
        <v>301</v>
      </c>
    </row>
    <row r="31" spans="1:7" ht="12.75">
      <c r="A31" s="685" t="s">
        <v>388</v>
      </c>
      <c r="B31" s="686"/>
      <c r="C31" s="250" t="s">
        <v>107</v>
      </c>
      <c r="D31" s="258">
        <v>301</v>
      </c>
      <c r="E31" s="258">
        <v>301</v>
      </c>
      <c r="F31" s="258">
        <v>301</v>
      </c>
      <c r="G31" s="258">
        <v>301</v>
      </c>
    </row>
    <row r="32" spans="1:7" ht="13.5" customHeight="1">
      <c r="A32" s="685" t="s">
        <v>389</v>
      </c>
      <c r="B32" s="686"/>
      <c r="C32" s="250" t="s">
        <v>107</v>
      </c>
      <c r="D32" s="258">
        <v>301</v>
      </c>
      <c r="E32" s="258">
        <v>301</v>
      </c>
      <c r="F32" s="258">
        <v>301</v>
      </c>
      <c r="G32" s="258">
        <v>301</v>
      </c>
    </row>
    <row r="33" spans="1:7" ht="13.5" customHeight="1">
      <c r="A33" s="685" t="s">
        <v>390</v>
      </c>
      <c r="B33" s="686"/>
      <c r="C33" s="250" t="s">
        <v>107</v>
      </c>
      <c r="D33" s="258">
        <v>301</v>
      </c>
      <c r="E33" s="258">
        <v>301</v>
      </c>
      <c r="F33" s="258">
        <v>301</v>
      </c>
      <c r="G33" s="258">
        <v>301</v>
      </c>
    </row>
    <row r="35" s="247" customFormat="1" ht="15">
      <c r="A35" s="247" t="s">
        <v>393</v>
      </c>
    </row>
    <row r="37" spans="1:10" ht="31.5" customHeight="1">
      <c r="A37" s="679" t="s">
        <v>383</v>
      </c>
      <c r="B37" s="680"/>
      <c r="C37" s="679" t="s">
        <v>394</v>
      </c>
      <c r="D37" s="680"/>
      <c r="E37" s="681" t="s">
        <v>395</v>
      </c>
      <c r="F37" s="681"/>
      <c r="G37" s="681"/>
      <c r="I37" s="302"/>
      <c r="J37" s="302"/>
    </row>
    <row r="38" spans="1:9" ht="19.5" customHeight="1">
      <c r="A38" s="682" t="s">
        <v>386</v>
      </c>
      <c r="B38" s="683"/>
      <c r="C38" s="683"/>
      <c r="D38" s="683"/>
      <c r="E38" s="683"/>
      <c r="F38" s="683"/>
      <c r="G38" s="684"/>
      <c r="H38" s="302"/>
      <c r="I38" s="302"/>
    </row>
    <row r="39" spans="1:11" ht="67.5" customHeight="1">
      <c r="A39" s="687" t="s">
        <v>396</v>
      </c>
      <c r="B39" s="688"/>
      <c r="C39" s="689">
        <f>C40+C46</f>
        <v>7570.2618299999995</v>
      </c>
      <c r="D39" s="690"/>
      <c r="E39" s="251">
        <f>E40+E46</f>
        <v>1951.6300999999999</v>
      </c>
      <c r="F39" s="251">
        <f>F40+F46</f>
        <v>1187.46909</v>
      </c>
      <c r="G39" s="251">
        <f>G40+G46</f>
        <v>1490.34685</v>
      </c>
      <c r="H39" s="302">
        <f>C39-C67</f>
        <v>509.2958500000004</v>
      </c>
      <c r="I39" s="302">
        <f>E39-E67</f>
        <v>763.6558299999999</v>
      </c>
      <c r="J39" s="302">
        <f>F39-F67</f>
        <v>-519.5129999999999</v>
      </c>
      <c r="K39" s="302">
        <f>G39-G67</f>
        <v>249.72775999999976</v>
      </c>
    </row>
    <row r="40" spans="1:11" s="253" customFormat="1" ht="67.5" customHeight="1">
      <c r="A40" s="691" t="s">
        <v>397</v>
      </c>
      <c r="B40" s="692"/>
      <c r="C40" s="693">
        <f>SUM(C41:D45)</f>
        <v>7210.808829999999</v>
      </c>
      <c r="D40" s="694"/>
      <c r="E40" s="252">
        <f>SUM(E41:E45)</f>
        <v>1831.1580999999999</v>
      </c>
      <c r="F40" s="252">
        <f>SUM(F41:F45)</f>
        <v>1187.46909</v>
      </c>
      <c r="G40" s="252">
        <f>SUM(G41:G45)</f>
        <v>1490.34685</v>
      </c>
      <c r="H40" s="406">
        <f aca="true" t="shared" si="0" ref="H40:H65">C40-C68</f>
        <v>508.6528500000004</v>
      </c>
      <c r="I40" s="406">
        <f aca="true" t="shared" si="1" ref="I40:I65">E40-E68</f>
        <v>764.0318299999999</v>
      </c>
      <c r="J40" s="406">
        <f aca="true" t="shared" si="2" ref="J40:J65">F40-F68</f>
        <v>-519.5129999999999</v>
      </c>
      <c r="K40" s="302">
        <f aca="true" t="shared" si="3" ref="K40:K65">G40-G68</f>
        <v>249.72775999999976</v>
      </c>
    </row>
    <row r="41" spans="1:11" ht="28.5" customHeight="1" hidden="1">
      <c r="A41" s="685" t="s">
        <v>398</v>
      </c>
      <c r="B41" s="686"/>
      <c r="C41" s="695">
        <f>E41+F41+G41</f>
        <v>0</v>
      </c>
      <c r="D41" s="696"/>
      <c r="E41" s="254">
        <f>'мун.задание'!D106/1000</f>
        <v>0</v>
      </c>
      <c r="F41" s="254">
        <f>'мун.задание'!E106/1000</f>
        <v>0</v>
      </c>
      <c r="G41" s="254">
        <f>'мун.задание'!F106/1000</f>
        <v>0</v>
      </c>
      <c r="H41" s="406">
        <f t="shared" si="0"/>
        <v>0</v>
      </c>
      <c r="I41" s="406">
        <f t="shared" si="1"/>
        <v>0</v>
      </c>
      <c r="J41" s="406">
        <f t="shared" si="2"/>
        <v>0</v>
      </c>
      <c r="K41" s="302">
        <f t="shared" si="3"/>
        <v>0</v>
      </c>
    </row>
    <row r="42" spans="1:11" ht="28.5" customHeight="1" hidden="1">
      <c r="A42" s="685" t="s">
        <v>426</v>
      </c>
      <c r="B42" s="686"/>
      <c r="C42" s="719">
        <f>E42+F42+G42</f>
        <v>0</v>
      </c>
      <c r="D42" s="720"/>
      <c r="E42" s="306">
        <f>'мун.задание'!J108/1000</f>
        <v>0</v>
      </c>
      <c r="F42" s="306">
        <f>'мун.задание'!K108/1000</f>
        <v>0</v>
      </c>
      <c r="G42" s="306">
        <f>'мун.задание'!L108/1000</f>
        <v>0</v>
      </c>
      <c r="H42" s="406">
        <f t="shared" si="0"/>
        <v>0</v>
      </c>
      <c r="I42" s="406">
        <f t="shared" si="1"/>
        <v>0</v>
      </c>
      <c r="J42" s="406">
        <f t="shared" si="2"/>
        <v>0</v>
      </c>
      <c r="K42" s="302">
        <f t="shared" si="3"/>
        <v>0</v>
      </c>
    </row>
    <row r="43" spans="1:11" ht="28.5" customHeight="1">
      <c r="A43" s="685" t="s">
        <v>399</v>
      </c>
      <c r="B43" s="686"/>
      <c r="C43" s="697">
        <f>('мун.задание'!D110+'мун.задание'!E110+'мун.задание'!F110+'мун.задание'!G110+'мун.задание'!H110+'мун.задание'!I110)/1000</f>
        <v>3926.17114</v>
      </c>
      <c r="D43" s="698"/>
      <c r="E43" s="300">
        <f>'мун.задание'!G110/1000</f>
        <v>1053.627</v>
      </c>
      <c r="F43" s="300">
        <f>'мун.задание'!H110/1000</f>
        <v>519.0996</v>
      </c>
      <c r="G43" s="300">
        <f>'мун.задание'!I110/1000</f>
        <v>1170.13754</v>
      </c>
      <c r="H43" s="406">
        <f t="shared" si="0"/>
        <v>449.41399999999976</v>
      </c>
      <c r="I43" s="406">
        <f t="shared" si="1"/>
        <v>510.341</v>
      </c>
      <c r="J43" s="406">
        <f t="shared" si="2"/>
        <v>-510.72900000000004</v>
      </c>
      <c r="K43" s="406">
        <f t="shared" si="3"/>
        <v>449.4139999999999</v>
      </c>
    </row>
    <row r="44" spans="1:15" ht="15" customHeight="1">
      <c r="A44" s="685" t="s">
        <v>400</v>
      </c>
      <c r="B44" s="686"/>
      <c r="C44" s="697">
        <f>('мун.задание'!D112+'мун.задание'!E112+'мун.задание'!F112+'мун.задание'!G112+'мун.задание'!H112+'мун.задание'!I112)/1000</f>
        <v>2311.75083</v>
      </c>
      <c r="D44" s="698"/>
      <c r="E44" s="300">
        <f>'мун.задание'!G112/1000</f>
        <v>577.4811</v>
      </c>
      <c r="F44" s="300">
        <f>'мун.задание'!H112/1000</f>
        <v>405.04308999999995</v>
      </c>
      <c r="G44" s="300">
        <f>'мун.задание'!I112/1000</f>
        <v>272.25685</v>
      </c>
      <c r="H44" s="406">
        <f t="shared" si="0"/>
        <v>59.23885000000064</v>
      </c>
      <c r="I44" s="406">
        <f t="shared" si="1"/>
        <v>253.69083</v>
      </c>
      <c r="J44" s="406">
        <f t="shared" si="2"/>
        <v>-8.783999999999992</v>
      </c>
      <c r="K44" s="406">
        <f t="shared" si="3"/>
        <v>-199.68624</v>
      </c>
      <c r="L44" s="302"/>
      <c r="M44" s="302"/>
      <c r="N44" s="302"/>
      <c r="O44" s="302"/>
    </row>
    <row r="45" spans="1:11" ht="15" customHeight="1">
      <c r="A45" s="685" t="s">
        <v>401</v>
      </c>
      <c r="B45" s="686"/>
      <c r="C45" s="697">
        <f>('мун.задание'!D116+'мун.задание'!E116+'мун.задание'!F116+'мун.задание'!G116+'мун.задание'!H116+'мун.задание'!I116)/1000</f>
        <v>972.88686</v>
      </c>
      <c r="D45" s="698"/>
      <c r="E45" s="300">
        <f>'мун.задание'!G116/1000</f>
        <v>200.05</v>
      </c>
      <c r="F45" s="300">
        <f>'мун.задание'!H116/1000</f>
        <v>263.32640000000004</v>
      </c>
      <c r="G45" s="300">
        <f>'мун.задание'!I116/1000</f>
        <v>47.95246</v>
      </c>
      <c r="H45" s="406">
        <f t="shared" si="0"/>
        <v>0</v>
      </c>
      <c r="I45" s="406">
        <f t="shared" si="1"/>
        <v>0</v>
      </c>
      <c r="J45" s="406">
        <f t="shared" si="2"/>
        <v>0</v>
      </c>
      <c r="K45" s="406">
        <f t="shared" si="3"/>
        <v>0</v>
      </c>
    </row>
    <row r="46" spans="1:11" s="253" customFormat="1" ht="68.25" customHeight="1">
      <c r="A46" s="691" t="s">
        <v>402</v>
      </c>
      <c r="B46" s="692"/>
      <c r="C46" s="697">
        <f>C47</f>
        <v>359.453</v>
      </c>
      <c r="D46" s="698"/>
      <c r="E46" s="300">
        <f>E47</f>
        <v>120.472</v>
      </c>
      <c r="F46" s="300">
        <f>F47</f>
        <v>0</v>
      </c>
      <c r="G46" s="300">
        <f>G47</f>
        <v>0</v>
      </c>
      <c r="H46" s="406">
        <f t="shared" si="0"/>
        <v>0.6429999999999723</v>
      </c>
      <c r="I46" s="406">
        <f t="shared" si="1"/>
        <v>-0.3760000000000048</v>
      </c>
      <c r="J46" s="406">
        <f t="shared" si="2"/>
        <v>0</v>
      </c>
      <c r="K46" s="406">
        <f t="shared" si="3"/>
        <v>0</v>
      </c>
    </row>
    <row r="47" spans="1:11" ht="15" customHeight="1">
      <c r="A47" s="685" t="s">
        <v>390</v>
      </c>
      <c r="B47" s="686"/>
      <c r="C47" s="697">
        <f>('мун.задание'!D128+'мун.задание'!E128+'мун.задание'!F128+'мун.задание'!G128+'мун.задание'!H128+'мун.задание'!I128)/1000</f>
        <v>359.453</v>
      </c>
      <c r="D47" s="698"/>
      <c r="E47" s="300">
        <f>'мун.задание'!G128/1000</f>
        <v>120.472</v>
      </c>
      <c r="F47" s="300">
        <f>'мун.задание'!H128/1000</f>
        <v>0</v>
      </c>
      <c r="G47" s="300">
        <f>'мун.задание'!I128/1000</f>
        <v>0</v>
      </c>
      <c r="H47" s="406">
        <f t="shared" si="0"/>
        <v>0.6429999999999723</v>
      </c>
      <c r="I47" s="406">
        <f t="shared" si="1"/>
        <v>-0.3760000000000048</v>
      </c>
      <c r="J47" s="406">
        <f t="shared" si="2"/>
        <v>0</v>
      </c>
      <c r="K47" s="406">
        <f t="shared" si="3"/>
        <v>0</v>
      </c>
    </row>
    <row r="48" spans="1:13" s="253" customFormat="1" ht="65.25" customHeight="1">
      <c r="A48" s="691" t="s">
        <v>403</v>
      </c>
      <c r="B48" s="692"/>
      <c r="C48" s="701">
        <f>C50+C52+C57+C58</f>
        <v>451.58131000000003</v>
      </c>
      <c r="D48" s="702"/>
      <c r="E48" s="422">
        <f>SUM(E49:E65)</f>
        <v>142.73035</v>
      </c>
      <c r="F48" s="422">
        <f>SUM(F49:F65)</f>
        <v>124.52</v>
      </c>
      <c r="G48" s="422">
        <f>G50+G52+G57</f>
        <v>50.8162</v>
      </c>
      <c r="H48" s="424">
        <f t="shared" si="0"/>
        <v>56.20345000000003</v>
      </c>
      <c r="I48" s="424">
        <f t="shared" si="1"/>
        <v>130.98784999999998</v>
      </c>
      <c r="J48" s="424">
        <f t="shared" si="2"/>
        <v>25.968999999999994</v>
      </c>
      <c r="K48" s="424">
        <f t="shared" si="3"/>
        <v>-47.66916</v>
      </c>
      <c r="L48" s="407"/>
      <c r="M48" s="407"/>
    </row>
    <row r="49" spans="1:11" ht="45.75" customHeight="1" hidden="1">
      <c r="A49" s="685" t="s">
        <v>146</v>
      </c>
      <c r="B49" s="686"/>
      <c r="C49" s="695">
        <f>E49+F49+G49</f>
        <v>0</v>
      </c>
      <c r="D49" s="696"/>
      <c r="E49" s="254">
        <v>0</v>
      </c>
      <c r="F49" s="254">
        <v>0</v>
      </c>
      <c r="G49" s="254">
        <v>0</v>
      </c>
      <c r="H49" s="302">
        <f t="shared" si="0"/>
        <v>0</v>
      </c>
      <c r="I49" s="302">
        <f t="shared" si="1"/>
        <v>0</v>
      </c>
      <c r="J49" s="302">
        <f t="shared" si="2"/>
        <v>0</v>
      </c>
      <c r="K49" s="302">
        <f t="shared" si="3"/>
        <v>0</v>
      </c>
    </row>
    <row r="50" spans="1:11" ht="87.75" customHeight="1">
      <c r="A50" s="699" t="s">
        <v>469</v>
      </c>
      <c r="B50" s="700"/>
      <c r="C50" s="693">
        <f>('мун.задание'!D147+'мун.задание'!E147+'мун.задание'!F147+'мун.задание'!G147+'мун.задание'!H147+'мун.задание'!I147)/1000</f>
        <v>382.78135000000003</v>
      </c>
      <c r="D50" s="694"/>
      <c r="E50" s="252">
        <f>'мун.задание'!G147/1000</f>
        <v>22.77215</v>
      </c>
      <c r="F50" s="252">
        <f>'мун.задание'!H147/1000</f>
        <v>122</v>
      </c>
      <c r="G50" s="252">
        <f>'мун.задание'!I147/1000</f>
        <v>48.2962</v>
      </c>
      <c r="H50" s="424">
        <f t="shared" si="0"/>
        <v>56.20345000000003</v>
      </c>
      <c r="I50" s="424">
        <f t="shared" si="1"/>
        <v>13.54965</v>
      </c>
      <c r="J50" s="424">
        <f t="shared" si="2"/>
        <v>52.324</v>
      </c>
      <c r="K50" s="424">
        <f t="shared" si="3"/>
        <v>-20.3442</v>
      </c>
    </row>
    <row r="51" spans="1:11" ht="23.25" customHeight="1" hidden="1">
      <c r="A51" s="699" t="s">
        <v>88</v>
      </c>
      <c r="B51" s="700"/>
      <c r="C51" s="693">
        <f>E51+F51+G51</f>
        <v>0</v>
      </c>
      <c r="D51" s="694"/>
      <c r="E51" s="252">
        <f>'мун.задание'!D148/1000</f>
        <v>0</v>
      </c>
      <c r="F51" s="252">
        <f>'мун.задание'!E148/1000</f>
        <v>0</v>
      </c>
      <c r="G51" s="252">
        <v>0</v>
      </c>
      <c r="H51" s="424">
        <f t="shared" si="0"/>
        <v>0</v>
      </c>
      <c r="I51" s="424">
        <f t="shared" si="1"/>
        <v>0</v>
      </c>
      <c r="J51" s="424">
        <f t="shared" si="2"/>
        <v>0</v>
      </c>
      <c r="K51" s="424">
        <f t="shared" si="3"/>
        <v>0</v>
      </c>
    </row>
    <row r="52" spans="1:11" ht="70.5" customHeight="1">
      <c r="A52" s="699" t="s">
        <v>470</v>
      </c>
      <c r="B52" s="700"/>
      <c r="C52" s="693">
        <f>E52+F52+G52</f>
        <v>0</v>
      </c>
      <c r="D52" s="694"/>
      <c r="E52" s="252">
        <f>'мун.задание'!D150/1000</f>
        <v>0</v>
      </c>
      <c r="F52" s="252">
        <f>'мун.задание'!E150/1000</f>
        <v>0</v>
      </c>
      <c r="G52" s="252">
        <f>'мун.задание'!L148/1000</f>
        <v>0</v>
      </c>
      <c r="H52" s="424">
        <f t="shared" si="0"/>
        <v>0</v>
      </c>
      <c r="I52" s="424">
        <f t="shared" si="1"/>
        <v>0</v>
      </c>
      <c r="J52" s="424">
        <f t="shared" si="2"/>
        <v>0</v>
      </c>
      <c r="K52" s="424">
        <f t="shared" si="3"/>
        <v>0</v>
      </c>
    </row>
    <row r="53" spans="1:11" ht="12.75" hidden="1">
      <c r="A53" s="699" t="s">
        <v>90</v>
      </c>
      <c r="B53" s="700"/>
      <c r="C53" s="697">
        <f>('мун.задание'!D153+'мун.задание'!E153+'мун.задание'!F153+'мун.задание'!G153+'мун.задание'!H153+'мун.задание'!I153)/1000+E53+F53+G53</f>
        <v>0</v>
      </c>
      <c r="D53" s="698"/>
      <c r="E53" s="300">
        <f>'мун.задание'!J153</f>
        <v>0</v>
      </c>
      <c r="F53" s="300">
        <f>'мун.задание'!K153</f>
        <v>0</v>
      </c>
      <c r="G53" s="300">
        <f>'мун.задание'!L153/1000</f>
        <v>0</v>
      </c>
      <c r="H53" s="302">
        <f t="shared" si="0"/>
        <v>0</v>
      </c>
      <c r="I53" s="302">
        <f t="shared" si="1"/>
        <v>0</v>
      </c>
      <c r="J53" s="302">
        <f t="shared" si="2"/>
        <v>0</v>
      </c>
      <c r="K53" s="302">
        <f t="shared" si="3"/>
        <v>0</v>
      </c>
    </row>
    <row r="54" spans="1:11" ht="15" customHeight="1" hidden="1">
      <c r="A54" s="699" t="s">
        <v>136</v>
      </c>
      <c r="B54" s="700"/>
      <c r="C54" s="697">
        <f>('мун.задание'!D155+'мун.задание'!E155+'мун.задание'!F155+'мун.задание'!G155+'мун.задание'!H155+'мун.задание'!I155)/1000</f>
        <v>0</v>
      </c>
      <c r="D54" s="698"/>
      <c r="E54" s="300">
        <f>'мун.задание'!J155</f>
        <v>0</v>
      </c>
      <c r="F54" s="300">
        <f>'мун.задание'!K155</f>
        <v>0</v>
      </c>
      <c r="G54" s="300">
        <f>'мун.задание'!L155</f>
        <v>0</v>
      </c>
      <c r="H54" s="302">
        <f t="shared" si="0"/>
        <v>0</v>
      </c>
      <c r="I54" s="302">
        <f t="shared" si="1"/>
        <v>0</v>
      </c>
      <c r="J54" s="302">
        <f t="shared" si="2"/>
        <v>0</v>
      </c>
      <c r="K54" s="302">
        <f t="shared" si="3"/>
        <v>0</v>
      </c>
    </row>
    <row r="55" spans="1:11" ht="27.75" customHeight="1" hidden="1">
      <c r="A55" s="699" t="s">
        <v>137</v>
      </c>
      <c r="B55" s="700"/>
      <c r="C55" s="697">
        <f>('мун.задание'!D156+'мун.задание'!E156+'мун.задание'!F156+'мун.задание'!G156+'мун.задание'!H156+'мун.задание'!I156)/1000</f>
        <v>0</v>
      </c>
      <c r="D55" s="698"/>
      <c r="E55" s="300">
        <f>'мун.задание'!J156</f>
        <v>0</v>
      </c>
      <c r="F55" s="300">
        <f>'мун.задание'!K156</f>
        <v>0</v>
      </c>
      <c r="G55" s="300">
        <f>'мун.задание'!L156</f>
        <v>0</v>
      </c>
      <c r="H55" s="302">
        <f t="shared" si="0"/>
        <v>0</v>
      </c>
      <c r="I55" s="302">
        <f t="shared" si="1"/>
        <v>0</v>
      </c>
      <c r="J55" s="302">
        <f t="shared" si="2"/>
        <v>0</v>
      </c>
      <c r="K55" s="302">
        <f t="shared" si="3"/>
        <v>0</v>
      </c>
    </row>
    <row r="56" spans="1:11" ht="55.5" customHeight="1" hidden="1">
      <c r="A56" s="699" t="s">
        <v>404</v>
      </c>
      <c r="B56" s="700"/>
      <c r="C56" s="697">
        <v>0</v>
      </c>
      <c r="D56" s="698"/>
      <c r="E56" s="300">
        <f>'мун.задание'!J158/1000</f>
        <v>63.75824</v>
      </c>
      <c r="F56" s="300">
        <f>'мун.задание'!K158/1000</f>
        <v>0</v>
      </c>
      <c r="G56" s="300">
        <f>'мун.задание'!L158/1000</f>
        <v>0</v>
      </c>
      <c r="H56" s="302">
        <f t="shared" si="0"/>
        <v>-15.12</v>
      </c>
      <c r="I56" s="302">
        <f t="shared" si="1"/>
        <v>61.23824</v>
      </c>
      <c r="J56" s="302">
        <f t="shared" si="2"/>
        <v>-2.52</v>
      </c>
      <c r="K56" s="302">
        <f t="shared" si="3"/>
        <v>-2.52</v>
      </c>
    </row>
    <row r="57" spans="1:11" ht="88.5" customHeight="1">
      <c r="A57" s="699" t="s">
        <v>471</v>
      </c>
      <c r="B57" s="700"/>
      <c r="C57" s="693">
        <f>('мун.задание'!D157+'мун.задание'!E157+'мун.задание'!F157+'мун.задание'!G157+'мун.задание'!H157+'мун.задание'!I157)/1000</f>
        <v>15.12</v>
      </c>
      <c r="D57" s="694"/>
      <c r="E57" s="252">
        <f>'мун.задание'!G157/1000</f>
        <v>2.52</v>
      </c>
      <c r="F57" s="252">
        <f>'мун.задание'!H157/1000</f>
        <v>2.52</v>
      </c>
      <c r="G57" s="252">
        <f>'мун.задание'!I157/1000</f>
        <v>2.52</v>
      </c>
      <c r="H57" s="424">
        <f>C57-C84</f>
        <v>0</v>
      </c>
      <c r="I57" s="424">
        <f aca="true" t="shared" si="4" ref="I57:K58">E57-E84</f>
        <v>0</v>
      </c>
      <c r="J57" s="424">
        <f t="shared" si="4"/>
        <v>0</v>
      </c>
      <c r="K57" s="424">
        <f t="shared" si="4"/>
        <v>0</v>
      </c>
    </row>
    <row r="58" spans="1:11" ht="38.25" customHeight="1">
      <c r="A58" s="703" t="s">
        <v>374</v>
      </c>
      <c r="B58" s="703"/>
      <c r="C58" s="693">
        <f>'мун.задание'!H158/1000</f>
        <v>53.67996</v>
      </c>
      <c r="D58" s="694"/>
      <c r="E58" s="252">
        <f>'мун.задание'!H158/1000</f>
        <v>53.67996</v>
      </c>
      <c r="F58" s="252">
        <f>'мун.задание'!H160/1000</f>
        <v>0</v>
      </c>
      <c r="G58" s="252">
        <f>'мун.задание'!L160</f>
        <v>0</v>
      </c>
      <c r="H58" s="424">
        <f>C58-C85</f>
        <v>0</v>
      </c>
      <c r="I58" s="424">
        <f t="shared" si="4"/>
        <v>53.67996</v>
      </c>
      <c r="J58" s="424">
        <f t="shared" si="4"/>
        <v>-26.355</v>
      </c>
      <c r="K58" s="424">
        <f t="shared" si="4"/>
        <v>-27.32496</v>
      </c>
    </row>
    <row r="59" spans="1:11" ht="27" customHeight="1">
      <c r="A59" s="723" t="s">
        <v>368</v>
      </c>
      <c r="B59" s="723"/>
      <c r="C59" s="723"/>
      <c r="D59" s="723"/>
      <c r="E59" s="723"/>
      <c r="F59" s="723"/>
      <c r="G59" s="724"/>
      <c r="H59" s="302">
        <f t="shared" si="0"/>
        <v>0</v>
      </c>
      <c r="I59" s="302">
        <f t="shared" si="1"/>
        <v>0</v>
      </c>
      <c r="J59" s="302">
        <f t="shared" si="2"/>
        <v>0</v>
      </c>
      <c r="K59" s="302">
        <f t="shared" si="3"/>
        <v>0</v>
      </c>
    </row>
    <row r="60" spans="1:11" ht="38.25" customHeight="1">
      <c r="A60" s="704" t="s">
        <v>146</v>
      </c>
      <c r="B60" s="686"/>
      <c r="C60" s="697">
        <v>0</v>
      </c>
      <c r="D60" s="698"/>
      <c r="E60" s="300">
        <v>0</v>
      </c>
      <c r="F60" s="300">
        <v>0</v>
      </c>
      <c r="G60" s="300">
        <f>'мун.задание'!F162/1000</f>
        <v>0</v>
      </c>
      <c r="H60" s="302">
        <f t="shared" si="0"/>
        <v>0</v>
      </c>
      <c r="I60" s="302">
        <f t="shared" si="1"/>
        <v>0</v>
      </c>
      <c r="J60" s="302">
        <f t="shared" si="2"/>
        <v>0</v>
      </c>
      <c r="K60" s="302">
        <f t="shared" si="3"/>
        <v>0</v>
      </c>
    </row>
    <row r="61" spans="1:11" ht="21.75" customHeight="1">
      <c r="A61" s="607" t="s">
        <v>369</v>
      </c>
      <c r="B61" s="608"/>
      <c r="C61" s="608"/>
      <c r="D61" s="608"/>
      <c r="E61" s="608"/>
      <c r="F61" s="608"/>
      <c r="G61" s="608"/>
      <c r="H61" s="302">
        <f t="shared" si="0"/>
        <v>0</v>
      </c>
      <c r="I61" s="302">
        <f t="shared" si="1"/>
        <v>0</v>
      </c>
      <c r="J61" s="302">
        <f t="shared" si="2"/>
        <v>0</v>
      </c>
      <c r="K61" s="302">
        <f t="shared" si="3"/>
        <v>0</v>
      </c>
    </row>
    <row r="62" spans="1:11" ht="38.25" customHeight="1">
      <c r="A62" s="704" t="s">
        <v>370</v>
      </c>
      <c r="B62" s="686"/>
      <c r="C62" s="697">
        <f>E62+F62+G62</f>
        <v>0</v>
      </c>
      <c r="D62" s="698"/>
      <c r="E62" s="300">
        <f>'мун.задание'!D164/1000</f>
        <v>0</v>
      </c>
      <c r="F62" s="300">
        <v>0</v>
      </c>
      <c r="G62" s="300">
        <f>'мун.задание'!F164/1000</f>
        <v>0</v>
      </c>
      <c r="H62" s="302">
        <f t="shared" si="0"/>
        <v>0</v>
      </c>
      <c r="I62" s="302">
        <f t="shared" si="1"/>
        <v>0</v>
      </c>
      <c r="J62" s="302">
        <f t="shared" si="2"/>
        <v>0</v>
      </c>
      <c r="K62" s="302">
        <f t="shared" si="3"/>
        <v>0</v>
      </c>
    </row>
    <row r="63" spans="1:11" ht="12.75">
      <c r="A63" s="704" t="s">
        <v>371</v>
      </c>
      <c r="B63" s="686"/>
      <c r="C63" s="697">
        <v>0</v>
      </c>
      <c r="D63" s="698"/>
      <c r="E63" s="300">
        <f>'мун.задание'!G165</f>
        <v>0</v>
      </c>
      <c r="F63" s="300">
        <f>'мун.задание'!H165</f>
        <v>0</v>
      </c>
      <c r="G63" s="300">
        <f>'мун.задание'!I165</f>
        <v>0</v>
      </c>
      <c r="H63" s="302">
        <f t="shared" si="0"/>
        <v>0</v>
      </c>
      <c r="I63" s="302">
        <f t="shared" si="1"/>
        <v>0</v>
      </c>
      <c r="J63" s="302">
        <f t="shared" si="2"/>
        <v>0</v>
      </c>
      <c r="K63" s="302">
        <f t="shared" si="3"/>
        <v>0</v>
      </c>
    </row>
    <row r="64" spans="1:11" ht="23.25" customHeight="1">
      <c r="A64" s="704" t="s">
        <v>372</v>
      </c>
      <c r="B64" s="686"/>
      <c r="C64" s="697">
        <f>E64+F64+G64</f>
        <v>0</v>
      </c>
      <c r="D64" s="698"/>
      <c r="E64" s="300">
        <f>'мун.задание'!D166/1000</f>
        <v>0</v>
      </c>
      <c r="F64" s="300">
        <f>'мун.задание'!E166/1000</f>
        <v>0</v>
      </c>
      <c r="G64" s="300">
        <f>'мун.задание'!F166/1000</f>
        <v>0</v>
      </c>
      <c r="H64" s="302">
        <f t="shared" si="0"/>
        <v>0</v>
      </c>
      <c r="I64" s="302">
        <f t="shared" si="1"/>
        <v>0</v>
      </c>
      <c r="J64" s="302">
        <f t="shared" si="2"/>
        <v>0</v>
      </c>
      <c r="K64" s="302">
        <f t="shared" si="3"/>
        <v>0</v>
      </c>
    </row>
    <row r="65" spans="1:11" ht="51.75" customHeight="1">
      <c r="A65" s="721" t="s">
        <v>373</v>
      </c>
      <c r="B65" s="722"/>
      <c r="C65" s="697">
        <f>'мун.задание'!P167/1000</f>
        <v>0</v>
      </c>
      <c r="D65" s="698"/>
      <c r="E65" s="300">
        <f>'мун.задание'!G167</f>
        <v>0</v>
      </c>
      <c r="F65" s="300">
        <f>'мун.задание'!H167</f>
        <v>0</v>
      </c>
      <c r="G65" s="300">
        <f>'мун.задание'!I167</f>
        <v>0</v>
      </c>
      <c r="H65" s="302">
        <f t="shared" si="0"/>
        <v>0</v>
      </c>
      <c r="I65" s="302">
        <f t="shared" si="1"/>
        <v>0</v>
      </c>
      <c r="J65" s="302">
        <f t="shared" si="2"/>
        <v>0</v>
      </c>
      <c r="K65" s="302">
        <f t="shared" si="3"/>
        <v>0</v>
      </c>
    </row>
    <row r="66" spans="1:7" ht="21.75" customHeight="1">
      <c r="A66" s="682" t="s">
        <v>391</v>
      </c>
      <c r="B66" s="683"/>
      <c r="C66" s="683"/>
      <c r="D66" s="683"/>
      <c r="E66" s="683"/>
      <c r="F66" s="683"/>
      <c r="G66" s="684"/>
    </row>
    <row r="67" spans="1:9" s="255" customFormat="1" ht="66" customHeight="1">
      <c r="A67" s="687" t="s">
        <v>396</v>
      </c>
      <c r="B67" s="688"/>
      <c r="C67" s="689">
        <f>C68+C74</f>
        <v>7060.965979999999</v>
      </c>
      <c r="D67" s="690"/>
      <c r="E67" s="251">
        <f>E68+E74</f>
        <v>1187.97427</v>
      </c>
      <c r="F67" s="251">
        <f>F68+F74</f>
        <v>1706.98209</v>
      </c>
      <c r="G67" s="251">
        <f>G68+G74</f>
        <v>1240.6190900000001</v>
      </c>
      <c r="H67" s="403">
        <f>(2611321.98+4449644)/1000</f>
        <v>7060.965980000001</v>
      </c>
      <c r="I67" s="403">
        <f>H67-C67</f>
        <v>0</v>
      </c>
    </row>
    <row r="68" spans="1:9" ht="66.75" customHeight="1">
      <c r="A68" s="691" t="s">
        <v>397</v>
      </c>
      <c r="B68" s="692"/>
      <c r="C68" s="697">
        <f>SUM(C69:D73)</f>
        <v>6702.155979999999</v>
      </c>
      <c r="D68" s="698"/>
      <c r="E68" s="300">
        <f>SUM(E69:E73)</f>
        <v>1067.12627</v>
      </c>
      <c r="F68" s="300">
        <f>SUM(F69:F73)</f>
        <v>1706.98209</v>
      </c>
      <c r="G68" s="300">
        <f>SUM(G69:G73)</f>
        <v>1240.6190900000001</v>
      </c>
      <c r="H68" s="302">
        <f>(444638.27+743336)/1000</f>
        <v>1187.97427</v>
      </c>
      <c r="I68" s="302">
        <f>H68-E67</f>
        <v>0</v>
      </c>
    </row>
    <row r="69" spans="1:7" ht="24.75" customHeight="1" hidden="1">
      <c r="A69" s="685" t="s">
        <v>398</v>
      </c>
      <c r="B69" s="686"/>
      <c r="C69" s="695">
        <f>E69+F69+G69</f>
        <v>0</v>
      </c>
      <c r="D69" s="696"/>
      <c r="E69" s="254">
        <f>касса!C34/1000</f>
        <v>0</v>
      </c>
      <c r="F69" s="254">
        <f>касса!D34/1000</f>
        <v>0</v>
      </c>
      <c r="G69" s="254">
        <f>касса!E34/1000</f>
        <v>0</v>
      </c>
    </row>
    <row r="70" spans="1:7" ht="27" customHeight="1" hidden="1">
      <c r="A70" s="685" t="s">
        <v>426</v>
      </c>
      <c r="B70" s="686"/>
      <c r="C70" s="697">
        <f>E70+F70+G70</f>
        <v>0</v>
      </c>
      <c r="D70" s="698"/>
      <c r="E70" s="300">
        <f>касса!K33/1000</f>
        <v>0</v>
      </c>
      <c r="F70" s="300">
        <f>касса!L33/1000</f>
        <v>0</v>
      </c>
      <c r="G70" s="300">
        <f>касса!M33/1000</f>
        <v>0</v>
      </c>
    </row>
    <row r="71" spans="1:9" ht="25.5" customHeight="1">
      <c r="A71" s="685" t="s">
        <v>399</v>
      </c>
      <c r="B71" s="686"/>
      <c r="C71" s="697">
        <f>(касса!F32+касса!J32)/1000</f>
        <v>3476.75714</v>
      </c>
      <c r="D71" s="698"/>
      <c r="E71" s="300">
        <f>касса!G32/1000</f>
        <v>543.286</v>
      </c>
      <c r="F71" s="300">
        <f>касса!H32/1000</f>
        <v>1029.8286</v>
      </c>
      <c r="G71" s="300">
        <f>касса!I32/1000</f>
        <v>720.7235400000001</v>
      </c>
      <c r="H71" s="238">
        <f>(413827.09+1293155)/1000</f>
        <v>1706.98209</v>
      </c>
      <c r="I71" s="302">
        <f>H71-F67</f>
        <v>0</v>
      </c>
    </row>
    <row r="72" spans="1:9" ht="15.75" customHeight="1">
      <c r="A72" s="685" t="s">
        <v>400</v>
      </c>
      <c r="B72" s="686"/>
      <c r="C72" s="697">
        <f>(касса!F38+касса!J38)/1000</f>
        <v>2252.5119799999993</v>
      </c>
      <c r="D72" s="698"/>
      <c r="E72" s="300">
        <f>касса!G38/1000</f>
        <v>323.79026999999996</v>
      </c>
      <c r="F72" s="300">
        <f>касса!H38/1000</f>
        <v>413.82708999999994</v>
      </c>
      <c r="G72" s="300">
        <f>касса!I38/1000</f>
        <v>471.94309</v>
      </c>
      <c r="H72" s="238">
        <f>(471943.09+768676)/1000</f>
        <v>1240.6190900000001</v>
      </c>
      <c r="I72" s="302">
        <f>H72-G67</f>
        <v>0</v>
      </c>
    </row>
    <row r="73" spans="1:7" ht="19.5" customHeight="1">
      <c r="A73" s="685" t="s">
        <v>401</v>
      </c>
      <c r="B73" s="686"/>
      <c r="C73" s="697">
        <f>(касса!F37+касса!J37)/1000</f>
        <v>972.88686</v>
      </c>
      <c r="D73" s="698"/>
      <c r="E73" s="300">
        <f>касса!G37/1000</f>
        <v>200.05</v>
      </c>
      <c r="F73" s="300">
        <f>касса!H37/1000</f>
        <v>263.32640000000004</v>
      </c>
      <c r="G73" s="300">
        <f>касса!I37/1000</f>
        <v>47.95245999999996</v>
      </c>
    </row>
    <row r="74" spans="1:7" ht="16.5" customHeight="1">
      <c r="A74" s="691" t="s">
        <v>402</v>
      </c>
      <c r="B74" s="692"/>
      <c r="C74" s="697">
        <f>C75</f>
        <v>358.81</v>
      </c>
      <c r="D74" s="698"/>
      <c r="E74" s="300">
        <f>E75</f>
        <v>120.848</v>
      </c>
      <c r="F74" s="300">
        <f>F75</f>
        <v>0</v>
      </c>
      <c r="G74" s="300">
        <f>G75</f>
        <v>0</v>
      </c>
    </row>
    <row r="75" spans="1:7" ht="12.75">
      <c r="A75" s="685" t="s">
        <v>390</v>
      </c>
      <c r="B75" s="686"/>
      <c r="C75" s="697">
        <f>(касса!F41+касса!J41)/1000</f>
        <v>358.81</v>
      </c>
      <c r="D75" s="698"/>
      <c r="E75" s="300">
        <f>касса!G41/1000</f>
        <v>120.848</v>
      </c>
      <c r="F75" s="300">
        <f>касса!H41/1000</f>
        <v>0</v>
      </c>
      <c r="G75" s="300">
        <f>касса!I41/1000</f>
        <v>0</v>
      </c>
    </row>
    <row r="76" spans="1:7" ht="66.75" customHeight="1">
      <c r="A76" s="691" t="s">
        <v>403</v>
      </c>
      <c r="B76" s="692"/>
      <c r="C76" s="725">
        <f>E76+F76+G76+186.599</f>
        <v>395.37786</v>
      </c>
      <c r="D76" s="726"/>
      <c r="E76" s="439">
        <f>SUM(E77:E93)</f>
        <v>11.7425</v>
      </c>
      <c r="F76" s="439">
        <f>SUM(F77:F93)</f>
        <v>98.551</v>
      </c>
      <c r="G76" s="439">
        <f>SUM(G77:G93)</f>
        <v>98.48536</v>
      </c>
    </row>
    <row r="77" spans="1:7" ht="44.25" customHeight="1" hidden="1">
      <c r="A77" s="699" t="s">
        <v>146</v>
      </c>
      <c r="B77" s="700"/>
      <c r="C77" s="697">
        <f>E77+F77+G77</f>
        <v>0</v>
      </c>
      <c r="D77" s="698"/>
      <c r="E77" s="300">
        <v>0</v>
      </c>
      <c r="F77" s="300">
        <v>0</v>
      </c>
      <c r="G77" s="300">
        <v>0</v>
      </c>
    </row>
    <row r="78" spans="1:7" ht="76.5" customHeight="1">
      <c r="A78" s="699" t="s">
        <v>469</v>
      </c>
      <c r="B78" s="700"/>
      <c r="C78" s="697">
        <f>179.039+E78+F78+G78</f>
        <v>326.5779</v>
      </c>
      <c r="D78" s="698"/>
      <c r="E78" s="300">
        <v>9.2225</v>
      </c>
      <c r="F78" s="300">
        <v>69.676</v>
      </c>
      <c r="G78" s="300">
        <v>68.6404</v>
      </c>
    </row>
    <row r="79" spans="1:7" ht="27.75" customHeight="1" hidden="1">
      <c r="A79" s="699" t="s">
        <v>88</v>
      </c>
      <c r="B79" s="700"/>
      <c r="C79" s="697">
        <f>E79+F79+G79</f>
        <v>0</v>
      </c>
      <c r="D79" s="698"/>
      <c r="E79" s="300">
        <v>0</v>
      </c>
      <c r="F79" s="300">
        <v>0</v>
      </c>
      <c r="G79" s="300">
        <v>0</v>
      </c>
    </row>
    <row r="80" spans="1:7" ht="73.5" customHeight="1">
      <c r="A80" s="699" t="s">
        <v>470</v>
      </c>
      <c r="B80" s="700"/>
      <c r="C80" s="697">
        <f>E80+F80+G80</f>
        <v>0</v>
      </c>
      <c r="D80" s="698"/>
      <c r="E80" s="300">
        <v>0</v>
      </c>
      <c r="F80" s="300">
        <v>0</v>
      </c>
      <c r="G80" s="300">
        <v>0</v>
      </c>
    </row>
    <row r="81" spans="1:7" ht="12.75" hidden="1">
      <c r="A81" s="699" t="s">
        <v>90</v>
      </c>
      <c r="B81" s="700"/>
      <c r="C81" s="697">
        <v>0</v>
      </c>
      <c r="D81" s="698"/>
      <c r="E81" s="300">
        <v>0</v>
      </c>
      <c r="F81" s="300">
        <v>0</v>
      </c>
      <c r="G81" s="300">
        <v>0</v>
      </c>
    </row>
    <row r="82" spans="1:7" ht="12.75" hidden="1">
      <c r="A82" s="699" t="s">
        <v>136</v>
      </c>
      <c r="B82" s="700"/>
      <c r="C82" s="697">
        <v>0</v>
      </c>
      <c r="D82" s="698"/>
      <c r="E82" s="300">
        <v>0</v>
      </c>
      <c r="F82" s="300">
        <v>0</v>
      </c>
      <c r="G82" s="300">
        <v>0</v>
      </c>
    </row>
    <row r="83" spans="1:7" ht="27.75" customHeight="1" hidden="1">
      <c r="A83" s="699" t="s">
        <v>137</v>
      </c>
      <c r="B83" s="700"/>
      <c r="C83" s="697">
        <v>0</v>
      </c>
      <c r="D83" s="698"/>
      <c r="E83" s="300">
        <v>0</v>
      </c>
      <c r="F83" s="300">
        <v>0</v>
      </c>
      <c r="G83" s="300">
        <v>0</v>
      </c>
    </row>
    <row r="84" spans="1:7" ht="82.5" customHeight="1">
      <c r="A84" s="699" t="s">
        <v>471</v>
      </c>
      <c r="B84" s="700"/>
      <c r="C84" s="697">
        <f>7.56+E84+F84+G84</f>
        <v>15.12</v>
      </c>
      <c r="D84" s="698"/>
      <c r="E84" s="300">
        <f>ROUND(2520/1000,2)</f>
        <v>2.52</v>
      </c>
      <c r="F84" s="300">
        <v>2.52</v>
      </c>
      <c r="G84" s="300">
        <f>2520/1000</f>
        <v>2.52</v>
      </c>
    </row>
    <row r="85" spans="1:7" ht="31.5" customHeight="1">
      <c r="A85" s="699" t="s">
        <v>472</v>
      </c>
      <c r="B85" s="700"/>
      <c r="C85" s="697">
        <f>E85+F85+G85</f>
        <v>53.67996</v>
      </c>
      <c r="D85" s="698"/>
      <c r="E85" s="300">
        <v>0</v>
      </c>
      <c r="F85" s="300">
        <v>26.355</v>
      </c>
      <c r="G85" s="300">
        <v>27.32496</v>
      </c>
    </row>
    <row r="86" spans="1:7" ht="41.25" customHeight="1" hidden="1">
      <c r="A86" s="730" t="s">
        <v>374</v>
      </c>
      <c r="B86" s="730"/>
      <c r="C86" s="697">
        <v>0</v>
      </c>
      <c r="D86" s="698"/>
      <c r="E86" s="300">
        <v>0</v>
      </c>
      <c r="F86" s="300">
        <v>0</v>
      </c>
      <c r="G86" s="300">
        <v>0</v>
      </c>
    </row>
    <row r="87" spans="1:7" ht="12.75">
      <c r="A87" s="731" t="s">
        <v>368</v>
      </c>
      <c r="B87" s="731"/>
      <c r="C87" s="731"/>
      <c r="D87" s="731"/>
      <c r="E87" s="731"/>
      <c r="F87" s="731"/>
      <c r="G87" s="732"/>
    </row>
    <row r="88" spans="1:7" ht="12.75">
      <c r="A88" s="733" t="s">
        <v>146</v>
      </c>
      <c r="B88" s="700"/>
      <c r="C88" s="697">
        <f>E88+F88+G88</f>
        <v>0</v>
      </c>
      <c r="D88" s="698"/>
      <c r="E88" s="300">
        <v>0</v>
      </c>
      <c r="F88" s="300">
        <v>0</v>
      </c>
      <c r="G88" s="300"/>
    </row>
    <row r="89" spans="1:7" ht="12.75">
      <c r="A89" s="607" t="s">
        <v>369</v>
      </c>
      <c r="B89" s="608"/>
      <c r="C89" s="608"/>
      <c r="D89" s="608"/>
      <c r="E89" s="608"/>
      <c r="F89" s="608"/>
      <c r="G89" s="608"/>
    </row>
    <row r="90" spans="1:7" ht="51.75" customHeight="1">
      <c r="A90" s="704" t="s">
        <v>370</v>
      </c>
      <c r="B90" s="686"/>
      <c r="C90" s="697">
        <f>E90+F90+G90</f>
        <v>0</v>
      </c>
      <c r="D90" s="698"/>
      <c r="E90" s="317"/>
      <c r="F90" s="300">
        <v>0</v>
      </c>
      <c r="G90" s="317"/>
    </row>
    <row r="91" spans="1:7" ht="12.75" customHeight="1">
      <c r="A91" s="704" t="s">
        <v>371</v>
      </c>
      <c r="B91" s="686"/>
      <c r="C91" s="697">
        <v>0</v>
      </c>
      <c r="D91" s="698"/>
      <c r="E91" s="300">
        <v>0</v>
      </c>
      <c r="F91" s="300">
        <v>0</v>
      </c>
      <c r="G91" s="300">
        <v>0</v>
      </c>
    </row>
    <row r="92" spans="1:7" ht="25.5" customHeight="1">
      <c r="A92" s="704" t="s">
        <v>372</v>
      </c>
      <c r="B92" s="686"/>
      <c r="C92" s="697">
        <f>E92+F92+G92</f>
        <v>0</v>
      </c>
      <c r="D92" s="698"/>
      <c r="E92" s="300">
        <v>0</v>
      </c>
      <c r="F92" s="300">
        <v>0</v>
      </c>
      <c r="G92" s="300">
        <v>0</v>
      </c>
    </row>
    <row r="93" spans="1:7" ht="48.75" customHeight="1">
      <c r="A93" s="721" t="s">
        <v>373</v>
      </c>
      <c r="B93" s="722"/>
      <c r="C93" s="697">
        <v>0</v>
      </c>
      <c r="D93" s="698"/>
      <c r="E93" s="300">
        <v>0</v>
      </c>
      <c r="F93" s="300">
        <v>0</v>
      </c>
      <c r="G93" s="300">
        <v>0</v>
      </c>
    </row>
    <row r="95" spans="1:7" ht="15">
      <c r="A95" s="247" t="s">
        <v>405</v>
      </c>
      <c r="B95" s="247"/>
      <c r="C95" s="247"/>
      <c r="D95" s="256"/>
      <c r="E95" s="247"/>
      <c r="F95" s="247"/>
      <c r="G95" s="256"/>
    </row>
    <row r="96" spans="1:7" ht="15" hidden="1">
      <c r="A96" s="247"/>
      <c r="B96" s="247"/>
      <c r="C96" s="247"/>
      <c r="D96" s="256"/>
      <c r="E96" s="247"/>
      <c r="F96" s="247"/>
      <c r="G96" s="256"/>
    </row>
    <row r="97" spans="1:7" ht="15">
      <c r="A97" s="247"/>
      <c r="B97" s="247"/>
      <c r="C97" s="247"/>
      <c r="D97" s="256"/>
      <c r="E97" s="247"/>
      <c r="F97" s="247"/>
      <c r="G97" s="256"/>
    </row>
    <row r="98" spans="1:7" ht="15">
      <c r="A98" s="247"/>
      <c r="B98" s="247"/>
      <c r="C98" s="247"/>
      <c r="D98" s="256"/>
      <c r="E98" s="247"/>
      <c r="F98" s="247"/>
      <c r="G98" s="256"/>
    </row>
    <row r="99" spans="1:7" ht="15">
      <c r="A99" s="247" t="s">
        <v>406</v>
      </c>
      <c r="B99" s="247"/>
      <c r="C99" s="247"/>
      <c r="D99" s="247"/>
      <c r="E99" s="247"/>
      <c r="F99" s="247"/>
      <c r="G99" s="256"/>
    </row>
    <row r="100" s="210" customFormat="1" ht="15.75" customHeight="1">
      <c r="E100" s="257"/>
    </row>
    <row r="101" spans="1:6" s="210" customFormat="1" ht="40.5" customHeight="1">
      <c r="A101" s="681" t="s">
        <v>407</v>
      </c>
      <c r="B101" s="681" t="s">
        <v>83</v>
      </c>
      <c r="C101" s="705" t="s">
        <v>408</v>
      </c>
      <c r="D101" s="706"/>
      <c r="E101" s="709" t="s">
        <v>409</v>
      </c>
      <c r="F101" s="709"/>
    </row>
    <row r="102" spans="1:7" ht="12.75">
      <c r="A102" s="681"/>
      <c r="B102" s="681"/>
      <c r="C102" s="707"/>
      <c r="D102" s="708"/>
      <c r="E102" s="709"/>
      <c r="F102" s="709"/>
      <c r="G102" s="210"/>
    </row>
    <row r="103" spans="1:7" ht="12.75">
      <c r="A103" s="258"/>
      <c r="B103" s="441" t="s">
        <v>410</v>
      </c>
      <c r="C103" s="682" t="s">
        <v>410</v>
      </c>
      <c r="D103" s="684"/>
      <c r="E103" s="710"/>
      <c r="F103" s="710"/>
      <c r="G103" s="210"/>
    </row>
    <row r="104" spans="1:7" ht="12.75">
      <c r="A104" s="258"/>
      <c r="B104" s="17"/>
      <c r="C104" s="682"/>
      <c r="D104" s="684"/>
      <c r="E104" s="710"/>
      <c r="F104" s="710"/>
      <c r="G104" s="210"/>
    </row>
    <row r="105" ht="15">
      <c r="E105" s="259"/>
    </row>
    <row r="106" spans="1:7" s="210" customFormat="1" ht="42" customHeight="1">
      <c r="A106" s="247" t="s">
        <v>411</v>
      </c>
      <c r="B106" s="247"/>
      <c r="C106" s="247"/>
      <c r="D106" s="247"/>
      <c r="E106" s="257"/>
      <c r="F106" s="247"/>
      <c r="G106" s="247"/>
    </row>
    <row r="107" ht="15">
      <c r="E107" s="259"/>
    </row>
    <row r="108" spans="1:7" s="266" customFormat="1" ht="13.5" customHeight="1">
      <c r="A108" s="681" t="s">
        <v>407</v>
      </c>
      <c r="B108" s="681" t="s">
        <v>83</v>
      </c>
      <c r="C108" s="705" t="s">
        <v>412</v>
      </c>
      <c r="D108" s="706"/>
      <c r="E108" s="709" t="s">
        <v>413</v>
      </c>
      <c r="F108" s="709"/>
      <c r="G108" s="238"/>
    </row>
    <row r="109" spans="1:7" s="266" customFormat="1" ht="15">
      <c r="A109" s="681"/>
      <c r="B109" s="681"/>
      <c r="C109" s="707"/>
      <c r="D109" s="708"/>
      <c r="E109" s="709"/>
      <c r="F109" s="709"/>
      <c r="G109" s="238"/>
    </row>
    <row r="110" spans="1:7" s="210" customFormat="1" ht="12.75">
      <c r="A110" s="258"/>
      <c r="B110" s="441" t="s">
        <v>410</v>
      </c>
      <c r="C110" s="682" t="s">
        <v>410</v>
      </c>
      <c r="D110" s="684"/>
      <c r="E110" s="710"/>
      <c r="F110" s="710"/>
      <c r="G110" s="238"/>
    </row>
    <row r="111" spans="1:7" s="210" customFormat="1" ht="12.75">
      <c r="A111" s="258"/>
      <c r="B111" s="17"/>
      <c r="C111" s="682"/>
      <c r="D111" s="684"/>
      <c r="E111" s="710"/>
      <c r="F111" s="710"/>
      <c r="G111" s="238"/>
    </row>
    <row r="112" spans="1:7" s="260" customFormat="1" ht="17.25" customHeight="1">
      <c r="A112" s="258"/>
      <c r="B112" s="17"/>
      <c r="C112" s="682"/>
      <c r="D112" s="684"/>
      <c r="E112" s="710"/>
      <c r="F112" s="710"/>
      <c r="G112" s="238"/>
    </row>
    <row r="113" ht="15">
      <c r="E113" s="259"/>
    </row>
    <row r="114" spans="1:7" ht="17.25" customHeight="1">
      <c r="A114" s="247" t="s">
        <v>414</v>
      </c>
      <c r="B114" s="247"/>
      <c r="C114" s="260"/>
      <c r="D114" s="260"/>
      <c r="E114" s="259"/>
      <c r="F114" s="260"/>
      <c r="G114" s="260"/>
    </row>
    <row r="115" ht="17.25" customHeight="1">
      <c r="E115" s="259"/>
    </row>
    <row r="116" spans="1:7" ht="36.75" customHeight="1">
      <c r="A116" s="681" t="s">
        <v>407</v>
      </c>
      <c r="B116" s="681" t="s">
        <v>415</v>
      </c>
      <c r="C116" s="681" t="s">
        <v>66</v>
      </c>
      <c r="D116" s="681" t="s">
        <v>55</v>
      </c>
      <c r="E116" s="709" t="s">
        <v>56</v>
      </c>
      <c r="F116" s="711" t="s">
        <v>416</v>
      </c>
      <c r="G116" s="210"/>
    </row>
    <row r="117" spans="1:7" ht="12.75" hidden="1">
      <c r="A117" s="681"/>
      <c r="B117" s="681"/>
      <c r="C117" s="681"/>
      <c r="D117" s="681"/>
      <c r="E117" s="709"/>
      <c r="F117" s="711"/>
      <c r="G117" s="210"/>
    </row>
    <row r="118" spans="1:7" ht="24.75" customHeight="1">
      <c r="A118" s="727" t="s">
        <v>497</v>
      </c>
      <c r="B118" s="728"/>
      <c r="C118" s="728"/>
      <c r="D118" s="728"/>
      <c r="E118" s="728"/>
      <c r="F118" s="729"/>
      <c r="G118" s="210"/>
    </row>
    <row r="119" spans="1:7" ht="39" customHeight="1">
      <c r="A119" s="258">
        <v>1</v>
      </c>
      <c r="B119" s="197" t="s">
        <v>488</v>
      </c>
      <c r="C119" s="209"/>
      <c r="D119" s="261" t="s">
        <v>489</v>
      </c>
      <c r="E119" s="261" t="s">
        <v>489</v>
      </c>
      <c r="F119" s="442">
        <v>0.95</v>
      </c>
      <c r="G119" s="210"/>
    </row>
    <row r="120" spans="1:7" s="210" customFormat="1" ht="40.5" customHeight="1">
      <c r="A120" s="258">
        <v>2</v>
      </c>
      <c r="B120" s="197" t="s">
        <v>490</v>
      </c>
      <c r="C120" s="209"/>
      <c r="D120" s="258" t="s">
        <v>491</v>
      </c>
      <c r="E120" s="258" t="s">
        <v>491</v>
      </c>
      <c r="F120" s="440">
        <v>1</v>
      </c>
      <c r="G120" s="238"/>
    </row>
    <row r="121" spans="1:6" ht="76.5">
      <c r="A121" s="258">
        <v>3</v>
      </c>
      <c r="B121" s="197" t="s">
        <v>492</v>
      </c>
      <c r="C121" s="209"/>
      <c r="D121" s="258" t="s">
        <v>493</v>
      </c>
      <c r="E121" s="258" t="s">
        <v>493</v>
      </c>
      <c r="F121" s="440">
        <v>1</v>
      </c>
    </row>
    <row r="122" spans="1:6" ht="25.5">
      <c r="A122" s="258">
        <v>4</v>
      </c>
      <c r="B122" s="197" t="s">
        <v>494</v>
      </c>
      <c r="C122" s="209"/>
      <c r="D122" s="258" t="s">
        <v>495</v>
      </c>
      <c r="E122" s="258" t="s">
        <v>495</v>
      </c>
      <c r="F122" s="440">
        <v>0.89</v>
      </c>
    </row>
    <row r="123" spans="1:6" ht="35.25" customHeight="1">
      <c r="A123" s="258">
        <v>5</v>
      </c>
      <c r="B123" s="197" t="s">
        <v>496</v>
      </c>
      <c r="C123" s="262"/>
      <c r="D123" s="440">
        <v>1</v>
      </c>
      <c r="E123" s="440">
        <v>1</v>
      </c>
      <c r="F123" s="440">
        <v>1</v>
      </c>
    </row>
    <row r="124" spans="1:7" s="247" customFormat="1" ht="27.75" customHeight="1">
      <c r="A124" s="263"/>
      <c r="B124" s="264"/>
      <c r="C124" s="265"/>
      <c r="D124" s="265"/>
      <c r="E124" s="265"/>
      <c r="F124" s="238"/>
      <c r="G124" s="238"/>
    </row>
    <row r="125" spans="1:5" ht="12.75">
      <c r="A125" s="263"/>
      <c r="B125" s="264"/>
      <c r="C125" s="265"/>
      <c r="D125" s="265"/>
      <c r="E125" s="265"/>
    </row>
    <row r="126" spans="1:5" ht="12.75">
      <c r="A126" s="263"/>
      <c r="B126" s="264"/>
      <c r="C126" s="265"/>
      <c r="D126" s="265"/>
      <c r="E126" s="265"/>
    </row>
    <row r="127" spans="1:7" ht="16.5" customHeight="1">
      <c r="A127" s="247" t="s">
        <v>417</v>
      </c>
      <c r="B127" s="247"/>
      <c r="C127" s="247"/>
      <c r="D127" s="247"/>
      <c r="E127" s="247"/>
      <c r="F127" s="247"/>
      <c r="G127" s="247"/>
    </row>
    <row r="128" ht="15.75" customHeight="1"/>
    <row r="129" spans="1:7" ht="51">
      <c r="A129" s="712" t="s">
        <v>418</v>
      </c>
      <c r="B129" s="712"/>
      <c r="C129" s="249" t="s">
        <v>71</v>
      </c>
      <c r="D129" s="679" t="s">
        <v>419</v>
      </c>
      <c r="E129" s="680"/>
      <c r="F129" s="249" t="s">
        <v>420</v>
      </c>
      <c r="G129" s="210"/>
    </row>
    <row r="130" spans="1:7" ht="12.75">
      <c r="A130" s="713" t="s">
        <v>113</v>
      </c>
      <c r="B130" s="713"/>
      <c r="C130" s="249" t="s">
        <v>473</v>
      </c>
      <c r="D130" s="714">
        <f>C67+C76</f>
        <v>7456.343839999999</v>
      </c>
      <c r="E130" s="715"/>
      <c r="F130" s="258">
        <f>D30</f>
        <v>301</v>
      </c>
      <c r="G130" s="210"/>
    </row>
    <row r="132" spans="1:7" ht="15.75" thickBot="1">
      <c r="A132" s="266"/>
      <c r="B132" s="266"/>
      <c r="C132" s="266"/>
      <c r="D132" s="303"/>
      <c r="E132" s="266"/>
      <c r="F132" s="266"/>
      <c r="G132" s="266"/>
    </row>
    <row r="133" spans="1:7" ht="15">
      <c r="A133" s="267" t="s">
        <v>64</v>
      </c>
      <c r="B133" s="268" t="s">
        <v>421</v>
      </c>
      <c r="C133" s="266"/>
      <c r="D133" s="266"/>
      <c r="E133" s="266"/>
      <c r="F133" s="266"/>
      <c r="G133" s="266"/>
    </row>
    <row r="134" s="210" customFormat="1" ht="15">
      <c r="A134" s="247" t="s">
        <v>422</v>
      </c>
    </row>
    <row r="135" s="210" customFormat="1" ht="15">
      <c r="A135" s="247"/>
    </row>
    <row r="136" spans="1:7" s="210" customFormat="1" ht="19.5" customHeight="1">
      <c r="A136" s="716" t="s">
        <v>423</v>
      </c>
      <c r="B136" s="716"/>
      <c r="C136" s="716"/>
      <c r="D136" s="716"/>
      <c r="E136" s="716"/>
      <c r="F136" s="716"/>
      <c r="G136" s="260"/>
    </row>
    <row r="137" spans="1:7" ht="42" customHeight="1">
      <c r="A137" s="677" t="s">
        <v>499</v>
      </c>
      <c r="B137" s="677"/>
      <c r="C137" s="677"/>
      <c r="D137" s="677"/>
      <c r="E137" s="677"/>
      <c r="F137" s="677"/>
      <c r="G137" s="677"/>
    </row>
    <row r="138" spans="1:6" ht="16.5" customHeight="1">
      <c r="A138" s="269"/>
      <c r="B138" s="269"/>
      <c r="C138" s="269"/>
      <c r="D138" s="269"/>
      <c r="E138" s="269"/>
      <c r="F138" s="269"/>
    </row>
    <row r="139" spans="1:6" ht="12.75" customHeight="1">
      <c r="A139" s="270"/>
      <c r="B139" s="270"/>
      <c r="C139" s="270"/>
      <c r="D139" s="270"/>
      <c r="E139" s="270"/>
      <c r="F139" s="270"/>
    </row>
    <row r="140" spans="1:6" ht="12.75" customHeight="1">
      <c r="A140" s="270"/>
      <c r="B140" s="270"/>
      <c r="C140" s="270"/>
      <c r="D140" s="270"/>
      <c r="E140" s="270"/>
      <c r="F140" s="270"/>
    </row>
    <row r="141" spans="1:6" ht="12.75" customHeight="1">
      <c r="A141" s="265"/>
      <c r="B141" s="265"/>
      <c r="C141" s="265"/>
      <c r="D141" s="265"/>
      <c r="E141" s="265"/>
      <c r="F141" s="265"/>
    </row>
    <row r="142" ht="12" customHeight="1"/>
    <row r="143" ht="12" customHeight="1"/>
    <row r="144" spans="1:7" ht="28.5" customHeight="1">
      <c r="A144" s="716" t="s">
        <v>424</v>
      </c>
      <c r="B144" s="716"/>
      <c r="C144" s="716"/>
      <c r="D144" s="716"/>
      <c r="E144" s="716"/>
      <c r="F144" s="716"/>
      <c r="G144" s="210"/>
    </row>
    <row r="145" spans="1:2" ht="12.75">
      <c r="A145" s="676" t="s">
        <v>498</v>
      </c>
      <c r="B145" s="676"/>
    </row>
    <row r="146" spans="1:6" ht="12.75">
      <c r="A146" s="269"/>
      <c r="B146" s="269"/>
      <c r="C146" s="269"/>
      <c r="D146" s="269"/>
      <c r="E146" s="269"/>
      <c r="F146" s="269"/>
    </row>
    <row r="147" spans="1:6" ht="12.75">
      <c r="A147" s="270"/>
      <c r="B147" s="270"/>
      <c r="C147" s="270"/>
      <c r="D147" s="270"/>
      <c r="E147" s="270"/>
      <c r="F147" s="270"/>
    </row>
    <row r="148" spans="1:6" ht="12.75">
      <c r="A148" s="270"/>
      <c r="B148" s="270"/>
      <c r="C148" s="270"/>
      <c r="D148" s="270"/>
      <c r="E148" s="270"/>
      <c r="F148" s="270"/>
    </row>
    <row r="149" spans="1:5" ht="12.75">
      <c r="A149" s="265"/>
      <c r="B149" s="265"/>
      <c r="C149" s="265"/>
      <c r="D149" s="265"/>
      <c r="E149" s="265"/>
    </row>
    <row r="151" spans="1:7" ht="15">
      <c r="A151" s="247" t="s">
        <v>425</v>
      </c>
      <c r="B151" s="247"/>
      <c r="C151" s="247"/>
      <c r="D151" s="247"/>
      <c r="E151" s="247"/>
      <c r="F151" s="247"/>
      <c r="G151" s="247"/>
    </row>
    <row r="153" spans="1:6" ht="15" customHeight="1">
      <c r="A153" s="676" t="s">
        <v>498</v>
      </c>
      <c r="B153" s="676"/>
      <c r="C153" s="271"/>
      <c r="D153" s="271"/>
      <c r="E153" s="271"/>
      <c r="F153" s="269"/>
    </row>
    <row r="154" spans="1:6" ht="12.75">
      <c r="A154" s="270"/>
      <c r="B154" s="270"/>
      <c r="C154" s="270"/>
      <c r="D154" s="270"/>
      <c r="E154" s="270"/>
      <c r="F154" s="270"/>
    </row>
    <row r="155" spans="1:6" ht="12.75">
      <c r="A155" s="270"/>
      <c r="B155" s="270"/>
      <c r="C155" s="270"/>
      <c r="D155" s="270"/>
      <c r="E155" s="270"/>
      <c r="F155" s="270"/>
    </row>
    <row r="156" spans="1:5" ht="12.75">
      <c r="A156" s="265"/>
      <c r="B156" s="265"/>
      <c r="C156" s="265"/>
      <c r="D156" s="265"/>
      <c r="E156" s="265"/>
    </row>
    <row r="157" spans="1:5" ht="12.75">
      <c r="A157" s="265"/>
      <c r="B157" s="265"/>
      <c r="C157" s="265"/>
      <c r="D157" s="265"/>
      <c r="E157" s="265"/>
    </row>
    <row r="158" spans="1:5" ht="12.75">
      <c r="A158" s="265"/>
      <c r="B158" s="265"/>
      <c r="C158" s="265"/>
      <c r="D158" s="265"/>
      <c r="E158" s="265"/>
    </row>
    <row r="161" spans="1:7" ht="16.5">
      <c r="A161" s="717" t="s">
        <v>435</v>
      </c>
      <c r="B161" s="717"/>
      <c r="C161" s="718" t="s">
        <v>436</v>
      </c>
      <c r="D161" s="718"/>
      <c r="E161" s="718"/>
      <c r="F161" s="210" t="s">
        <v>85</v>
      </c>
      <c r="G161" s="210"/>
    </row>
    <row r="162" spans="1:7" ht="16.5">
      <c r="A162" s="272"/>
      <c r="B162" s="273"/>
      <c r="C162" s="273"/>
      <c r="D162" s="273"/>
      <c r="E162" s="210"/>
      <c r="F162" s="210"/>
      <c r="G162" s="210"/>
    </row>
    <row r="163" spans="1:7" ht="16.5">
      <c r="A163" s="272"/>
      <c r="B163" s="248" t="s">
        <v>83</v>
      </c>
      <c r="C163" s="274"/>
      <c r="D163" s="248" t="s">
        <v>84</v>
      </c>
      <c r="E163" s="275"/>
      <c r="F163" s="210"/>
      <c r="G163" s="210"/>
    </row>
    <row r="164" spans="1:3" ht="16.5">
      <c r="A164" s="276"/>
      <c r="B164" s="277"/>
      <c r="C164" s="277"/>
    </row>
    <row r="165" spans="1:3" ht="16.5">
      <c r="A165" s="276"/>
      <c r="B165" s="277"/>
      <c r="C165" s="277"/>
    </row>
    <row r="166" spans="2:3" ht="15">
      <c r="B166" s="277"/>
      <c r="C166" s="277"/>
    </row>
    <row r="167" spans="2:3" ht="15">
      <c r="B167" s="277"/>
      <c r="C167" s="277"/>
    </row>
    <row r="168" spans="2:3" ht="15">
      <c r="B168" s="277"/>
      <c r="C168" s="277"/>
    </row>
    <row r="169" spans="2:3" ht="15">
      <c r="B169" s="277"/>
      <c r="C169" s="277"/>
    </row>
    <row r="170" ht="15">
      <c r="C170" s="277"/>
    </row>
    <row r="171" ht="15">
      <c r="C171" s="277"/>
    </row>
  </sheetData>
  <sheetProtection/>
  <mergeCells count="159">
    <mergeCell ref="A90:B90"/>
    <mergeCell ref="C90:D90"/>
    <mergeCell ref="A84:B84"/>
    <mergeCell ref="C84:D84"/>
    <mergeCell ref="A79:B79"/>
    <mergeCell ref="C79:D79"/>
    <mergeCell ref="A80:B80"/>
    <mergeCell ref="C80:D80"/>
    <mergeCell ref="A81:B81"/>
    <mergeCell ref="C81:D81"/>
    <mergeCell ref="A118:F118"/>
    <mergeCell ref="A86:B86"/>
    <mergeCell ref="C83:D83"/>
    <mergeCell ref="A87:G87"/>
    <mergeCell ref="A88:B88"/>
    <mergeCell ref="C88:D88"/>
    <mergeCell ref="C86:D86"/>
    <mergeCell ref="C91:D91"/>
    <mergeCell ref="A116:A117"/>
    <mergeCell ref="B116:B117"/>
    <mergeCell ref="A82:B82"/>
    <mergeCell ref="C82:D82"/>
    <mergeCell ref="A83:B83"/>
    <mergeCell ref="A85:B85"/>
    <mergeCell ref="C85:D85"/>
    <mergeCell ref="A76:B76"/>
    <mergeCell ref="C76:D76"/>
    <mergeCell ref="A77:B77"/>
    <mergeCell ref="C77:D77"/>
    <mergeCell ref="A78:B78"/>
    <mergeCell ref="C72:D72"/>
    <mergeCell ref="A73:B73"/>
    <mergeCell ref="C73:D73"/>
    <mergeCell ref="A74:B74"/>
    <mergeCell ref="C74:D74"/>
    <mergeCell ref="A75:B75"/>
    <mergeCell ref="C75:D75"/>
    <mergeCell ref="A72:B72"/>
    <mergeCell ref="C92:D92"/>
    <mergeCell ref="A93:B93"/>
    <mergeCell ref="C93:D93"/>
    <mergeCell ref="A91:B91"/>
    <mergeCell ref="A67:B67"/>
    <mergeCell ref="C67:D67"/>
    <mergeCell ref="A68:B68"/>
    <mergeCell ref="C68:D68"/>
    <mergeCell ref="A69:B69"/>
    <mergeCell ref="C78:D78"/>
    <mergeCell ref="A64:B64"/>
    <mergeCell ref="A66:G66"/>
    <mergeCell ref="A70:B70"/>
    <mergeCell ref="C70:D70"/>
    <mergeCell ref="A71:B71"/>
    <mergeCell ref="C71:D71"/>
    <mergeCell ref="C69:D69"/>
    <mergeCell ref="A161:B161"/>
    <mergeCell ref="C161:E161"/>
    <mergeCell ref="A42:B42"/>
    <mergeCell ref="C42:D42"/>
    <mergeCell ref="A65:B65"/>
    <mergeCell ref="A59:G59"/>
    <mergeCell ref="A60:B60"/>
    <mergeCell ref="C60:D60"/>
    <mergeCell ref="A89:G89"/>
    <mergeCell ref="A92:B92"/>
    <mergeCell ref="A129:B129"/>
    <mergeCell ref="D129:E129"/>
    <mergeCell ref="A130:B130"/>
    <mergeCell ref="D130:E130"/>
    <mergeCell ref="A136:F136"/>
    <mergeCell ref="A144:F144"/>
    <mergeCell ref="C116:C117"/>
    <mergeCell ref="D116:D117"/>
    <mergeCell ref="E116:E117"/>
    <mergeCell ref="F116:F117"/>
    <mergeCell ref="C110:D110"/>
    <mergeCell ref="E110:F110"/>
    <mergeCell ref="C111:D111"/>
    <mergeCell ref="E111:F111"/>
    <mergeCell ref="C112:D112"/>
    <mergeCell ref="E112:F112"/>
    <mergeCell ref="C104:D104"/>
    <mergeCell ref="E104:F104"/>
    <mergeCell ref="A108:A109"/>
    <mergeCell ref="B108:B109"/>
    <mergeCell ref="C108:D109"/>
    <mergeCell ref="E108:F109"/>
    <mergeCell ref="A101:A102"/>
    <mergeCell ref="B101:B102"/>
    <mergeCell ref="C101:D102"/>
    <mergeCell ref="E101:F102"/>
    <mergeCell ref="C103:D103"/>
    <mergeCell ref="E103:F103"/>
    <mergeCell ref="C58:D58"/>
    <mergeCell ref="A56:B56"/>
    <mergeCell ref="C65:D65"/>
    <mergeCell ref="A58:B58"/>
    <mergeCell ref="C62:D62"/>
    <mergeCell ref="C63:D63"/>
    <mergeCell ref="C64:D64"/>
    <mergeCell ref="A61:G61"/>
    <mergeCell ref="A62:B62"/>
    <mergeCell ref="A63:B63"/>
    <mergeCell ref="C55:D55"/>
    <mergeCell ref="A54:B54"/>
    <mergeCell ref="C56:D56"/>
    <mergeCell ref="A55:B55"/>
    <mergeCell ref="C57:D57"/>
    <mergeCell ref="A57:B57"/>
    <mergeCell ref="C53:D53"/>
    <mergeCell ref="A53:B53"/>
    <mergeCell ref="C54:D54"/>
    <mergeCell ref="A51:B51"/>
    <mergeCell ref="C51:D51"/>
    <mergeCell ref="A52:B52"/>
    <mergeCell ref="C52:D52"/>
    <mergeCell ref="A50:B50"/>
    <mergeCell ref="C50:D50"/>
    <mergeCell ref="A46:B46"/>
    <mergeCell ref="C46:D46"/>
    <mergeCell ref="A47:B47"/>
    <mergeCell ref="C47:D47"/>
    <mergeCell ref="A48:B48"/>
    <mergeCell ref="C48:D48"/>
    <mergeCell ref="A44:B44"/>
    <mergeCell ref="C44:D44"/>
    <mergeCell ref="A45:B45"/>
    <mergeCell ref="C45:D45"/>
    <mergeCell ref="C49:D49"/>
    <mergeCell ref="A49:B49"/>
    <mergeCell ref="A40:B40"/>
    <mergeCell ref="C40:D40"/>
    <mergeCell ref="A41:B41"/>
    <mergeCell ref="C41:D41"/>
    <mergeCell ref="A43:B43"/>
    <mergeCell ref="C43:D43"/>
    <mergeCell ref="A33:B33"/>
    <mergeCell ref="A37:B37"/>
    <mergeCell ref="C37:D37"/>
    <mergeCell ref="E37:G37"/>
    <mergeCell ref="A38:G38"/>
    <mergeCell ref="A39:B39"/>
    <mergeCell ref="C39:D39"/>
    <mergeCell ref="A27:B27"/>
    <mergeCell ref="A28:B28"/>
    <mergeCell ref="A29:G29"/>
    <mergeCell ref="A30:B30"/>
    <mergeCell ref="A31:B31"/>
    <mergeCell ref="A32:B32"/>
    <mergeCell ref="A153:B153"/>
    <mergeCell ref="A145:B145"/>
    <mergeCell ref="A137:G137"/>
    <mergeCell ref="A13:G13"/>
    <mergeCell ref="A14:G14"/>
    <mergeCell ref="A23:B23"/>
    <mergeCell ref="E23:G23"/>
    <mergeCell ref="A24:G24"/>
    <mergeCell ref="A25:B25"/>
    <mergeCell ref="A26:B26"/>
  </mergeCells>
  <printOptions/>
  <pageMargins left="0.57" right="0.2362204724409449" top="0.1968503937007874" bottom="0.1968503937007874" header="0.15748031496062992" footer="0.1968503937007874"/>
  <pageSetup horizontalDpi="600" verticalDpi="600" orientation="landscape" paperSize="9" scale="95" r:id="rId1"/>
  <rowBreaks count="3" manualBreakCount="3">
    <brk id="33" max="6" man="1"/>
    <brk id="112" max="6" man="1"/>
    <brk id="135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S49"/>
  <sheetViews>
    <sheetView zoomScalePageLayoutView="0" workbookViewId="0" topLeftCell="A1">
      <pane xSplit="2" ySplit="3" topLeftCell="C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20" sqref="C20"/>
    </sheetView>
  </sheetViews>
  <sheetFormatPr defaultColWidth="9.00390625" defaultRowHeight="15"/>
  <cols>
    <col min="1" max="1" width="29.140625" style="207" customWidth="1"/>
    <col min="2" max="2" width="5.140625" style="207" customWidth="1"/>
    <col min="3" max="3" width="12.421875" style="207" customWidth="1"/>
    <col min="4" max="4" width="11.28125" style="207" customWidth="1"/>
    <col min="5" max="5" width="12.7109375" style="207" customWidth="1"/>
    <col min="6" max="6" width="11.8515625" style="207" customWidth="1"/>
    <col min="7" max="7" width="12.7109375" style="207" customWidth="1"/>
    <col min="8" max="9" width="11.8515625" style="207" customWidth="1"/>
    <col min="10" max="10" width="10.7109375" style="207" customWidth="1"/>
    <col min="11" max="11" width="11.57421875" style="207" customWidth="1"/>
    <col min="12" max="12" width="9.140625" style="207" customWidth="1"/>
    <col min="13" max="13" width="10.421875" style="207" customWidth="1"/>
    <col min="14" max="14" width="9.8515625" style="207" customWidth="1"/>
    <col min="15" max="15" width="8.8515625" style="207" customWidth="1"/>
    <col min="16" max="16" width="9.8515625" style="207" customWidth="1"/>
    <col min="17" max="18" width="9.7109375" style="207" customWidth="1"/>
    <col min="19" max="19" width="13.28125" style="212" customWidth="1"/>
    <col min="20" max="16384" width="9.00390625" style="207" customWidth="1"/>
  </cols>
  <sheetData>
    <row r="1" spans="1:19" s="199" customFormat="1" ht="12.75">
      <c r="A1" s="610" t="s">
        <v>375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610"/>
      <c r="S1" s="610"/>
    </row>
    <row r="2" spans="1:19" s="199" customFormat="1" ht="12.75">
      <c r="A2" s="200"/>
      <c r="B2" s="611" t="s">
        <v>152</v>
      </c>
      <c r="C2" s="611" t="s">
        <v>153</v>
      </c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1"/>
      <c r="P2" s="611"/>
      <c r="Q2" s="611"/>
      <c r="R2" s="612"/>
      <c r="S2" s="201"/>
    </row>
    <row r="3" spans="1:19" s="199" customFormat="1" ht="12.75">
      <c r="A3" s="200"/>
      <c r="B3" s="611"/>
      <c r="C3" s="200">
        <v>1</v>
      </c>
      <c r="D3" s="200">
        <v>2</v>
      </c>
      <c r="E3" s="200">
        <v>3</v>
      </c>
      <c r="F3" s="202" t="s">
        <v>154</v>
      </c>
      <c r="G3" s="200">
        <v>4</v>
      </c>
      <c r="H3" s="200">
        <v>5</v>
      </c>
      <c r="I3" s="200">
        <v>6</v>
      </c>
      <c r="J3" s="202" t="s">
        <v>155</v>
      </c>
      <c r="K3" s="200">
        <v>7</v>
      </c>
      <c r="L3" s="200">
        <v>8</v>
      </c>
      <c r="M3" s="200">
        <v>9</v>
      </c>
      <c r="N3" s="202" t="s">
        <v>156</v>
      </c>
      <c r="O3" s="200">
        <v>10</v>
      </c>
      <c r="P3" s="200">
        <v>11</v>
      </c>
      <c r="Q3" s="200">
        <v>12</v>
      </c>
      <c r="R3" s="202" t="s">
        <v>157</v>
      </c>
      <c r="S3" s="203"/>
    </row>
    <row r="4" spans="1:19" ht="13.5" hidden="1">
      <c r="A4" s="613" t="s">
        <v>183</v>
      </c>
      <c r="B4" s="204">
        <v>211</v>
      </c>
      <c r="C4" s="205"/>
      <c r="D4" s="205"/>
      <c r="E4" s="205"/>
      <c r="F4" s="206">
        <f>SUM(C4:E4)</f>
        <v>0</v>
      </c>
      <c r="G4" s="205">
        <v>0</v>
      </c>
      <c r="H4" s="205">
        <v>0</v>
      </c>
      <c r="I4" s="205">
        <v>0</v>
      </c>
      <c r="J4" s="206">
        <f>SUM(G4:I4)</f>
        <v>0</v>
      </c>
      <c r="K4" s="294">
        <v>0</v>
      </c>
      <c r="L4" s="294">
        <v>0</v>
      </c>
      <c r="M4" s="294">
        <v>0</v>
      </c>
      <c r="N4" s="206">
        <f>SUM(K4:M4)</f>
        <v>0</v>
      </c>
      <c r="O4" s="205"/>
      <c r="P4" s="205"/>
      <c r="Q4" s="205"/>
      <c r="R4" s="206">
        <f>SUM(O4:Q4)</f>
        <v>0</v>
      </c>
      <c r="S4" s="232">
        <f aca="true" t="shared" si="0" ref="S4:S42">R4+N4+J4+F4</f>
        <v>0</v>
      </c>
    </row>
    <row r="5" spans="1:19" ht="13.5" hidden="1">
      <c r="A5" s="614"/>
      <c r="B5" s="204">
        <v>213</v>
      </c>
      <c r="C5" s="205"/>
      <c r="D5" s="205"/>
      <c r="E5" s="205"/>
      <c r="F5" s="206">
        <f aca="true" t="shared" si="1" ref="F5:F42">SUM(C5:E5)</f>
        <v>0</v>
      </c>
      <c r="G5" s="205">
        <v>0</v>
      </c>
      <c r="H5" s="205">
        <v>0</v>
      </c>
      <c r="I5" s="205">
        <v>0</v>
      </c>
      <c r="J5" s="206">
        <f aca="true" t="shared" si="2" ref="J5:J34">SUM(G5:I5)</f>
        <v>0</v>
      </c>
      <c r="K5" s="294">
        <v>0</v>
      </c>
      <c r="L5" s="294">
        <v>0</v>
      </c>
      <c r="M5" s="294">
        <v>0</v>
      </c>
      <c r="N5" s="206">
        <f aca="true" t="shared" si="3" ref="N5:N34">SUM(K5:M5)</f>
        <v>0</v>
      </c>
      <c r="O5" s="205"/>
      <c r="P5" s="205"/>
      <c r="Q5" s="205"/>
      <c r="R5" s="206">
        <f aca="true" t="shared" si="4" ref="R5:R34">SUM(O5:Q5)</f>
        <v>0</v>
      </c>
      <c r="S5" s="232">
        <f t="shared" si="0"/>
        <v>0</v>
      </c>
    </row>
    <row r="6" spans="1:19" ht="13.5">
      <c r="A6" s="208" t="s">
        <v>158</v>
      </c>
      <c r="B6" s="204">
        <v>211</v>
      </c>
      <c r="C6" s="397">
        <f>C7+C8</f>
        <v>218524</v>
      </c>
      <c r="D6" s="397">
        <v>545980.42</v>
      </c>
      <c r="E6" s="397">
        <v>546641.58</v>
      </c>
      <c r="F6" s="416">
        <f>C6+D6+E6</f>
        <v>1311146</v>
      </c>
      <c r="G6" s="397">
        <f>G7+G8</f>
        <v>546311</v>
      </c>
      <c r="H6" s="397">
        <f>H7+H8</f>
        <v>949768.6</v>
      </c>
      <c r="I6" s="397">
        <v>582758.08</v>
      </c>
      <c r="J6" s="416">
        <f t="shared" si="2"/>
        <v>2078837.6800000002</v>
      </c>
      <c r="K6" s="222">
        <v>0</v>
      </c>
      <c r="L6" s="222">
        <v>0</v>
      </c>
      <c r="M6" s="222">
        <v>0</v>
      </c>
      <c r="N6" s="206">
        <v>0</v>
      </c>
      <c r="O6" s="222"/>
      <c r="P6" s="222"/>
      <c r="Q6" s="222"/>
      <c r="R6" s="206">
        <v>0</v>
      </c>
      <c r="S6" s="232">
        <f t="shared" si="0"/>
        <v>3389983.68</v>
      </c>
    </row>
    <row r="7" spans="1:19" s="210" customFormat="1" ht="76.5">
      <c r="A7" s="17" t="s">
        <v>179</v>
      </c>
      <c r="B7" s="209">
        <v>211</v>
      </c>
      <c r="C7" s="444">
        <v>157065</v>
      </c>
      <c r="D7" s="444">
        <v>392663</v>
      </c>
      <c r="E7" s="444">
        <v>392663</v>
      </c>
      <c r="F7" s="416">
        <f t="shared" si="1"/>
        <v>942391</v>
      </c>
      <c r="G7" s="444">
        <v>392663</v>
      </c>
      <c r="H7" s="444">
        <f>807111-29646.4</f>
        <v>777464.6</v>
      </c>
      <c r="I7" s="444">
        <f>486338+77586.62</f>
        <v>563924.62</v>
      </c>
      <c r="J7" s="416">
        <f t="shared" si="2"/>
        <v>1734052.2200000002</v>
      </c>
      <c r="K7" s="205">
        <v>0</v>
      </c>
      <c r="L7" s="205">
        <v>0</v>
      </c>
      <c r="M7" s="205">
        <v>0</v>
      </c>
      <c r="N7" s="206">
        <f t="shared" si="3"/>
        <v>0</v>
      </c>
      <c r="O7" s="205"/>
      <c r="P7" s="205"/>
      <c r="Q7" s="205"/>
      <c r="R7" s="206">
        <f t="shared" si="4"/>
        <v>0</v>
      </c>
      <c r="S7" s="232">
        <f t="shared" si="0"/>
        <v>2676443.22</v>
      </c>
    </row>
    <row r="8" spans="1:19" ht="89.25">
      <c r="A8" s="17" t="s">
        <v>178</v>
      </c>
      <c r="B8" s="208">
        <v>211</v>
      </c>
      <c r="C8" s="396">
        <v>61459</v>
      </c>
      <c r="D8" s="396">
        <f>D6-D7</f>
        <v>153317.42000000004</v>
      </c>
      <c r="E8" s="396">
        <f>E6-E7</f>
        <v>153978.57999999996</v>
      </c>
      <c r="F8" s="416">
        <f t="shared" si="1"/>
        <v>368755</v>
      </c>
      <c r="G8" s="396">
        <v>153648</v>
      </c>
      <c r="H8" s="396">
        <v>172304</v>
      </c>
      <c r="I8" s="396">
        <f>I6-I7</f>
        <v>18833.459999999963</v>
      </c>
      <c r="J8" s="416">
        <f t="shared" si="2"/>
        <v>344785.45999999996</v>
      </c>
      <c r="K8" s="200">
        <v>0</v>
      </c>
      <c r="L8" s="200">
        <v>0</v>
      </c>
      <c r="M8" s="200">
        <v>0</v>
      </c>
      <c r="N8" s="206">
        <f t="shared" si="3"/>
        <v>0</v>
      </c>
      <c r="O8" s="200">
        <f>O6-O7</f>
        <v>0</v>
      </c>
      <c r="P8" s="200">
        <f>P6-P7</f>
        <v>0</v>
      </c>
      <c r="Q8" s="200">
        <f>Q6-Q7</f>
        <v>0</v>
      </c>
      <c r="R8" s="206">
        <f t="shared" si="4"/>
        <v>0</v>
      </c>
      <c r="S8" s="232">
        <f t="shared" si="0"/>
        <v>713540.46</v>
      </c>
    </row>
    <row r="9" spans="1:19" ht="13.5">
      <c r="A9" s="208" t="s">
        <v>158</v>
      </c>
      <c r="B9" s="204">
        <v>213</v>
      </c>
      <c r="C9" s="443"/>
      <c r="D9" s="443">
        <v>165315.58</v>
      </c>
      <c r="E9" s="443">
        <v>164655.42</v>
      </c>
      <c r="F9" s="416">
        <f t="shared" si="1"/>
        <v>329971</v>
      </c>
      <c r="G9" s="443">
        <f>G10+G11</f>
        <v>164986</v>
      </c>
      <c r="H9" s="443">
        <v>325816.4</v>
      </c>
      <c r="I9" s="443">
        <v>185917.92</v>
      </c>
      <c r="J9" s="416">
        <f t="shared" si="2"/>
        <v>676720.3200000001</v>
      </c>
      <c r="K9" s="222">
        <v>0</v>
      </c>
      <c r="L9" s="222">
        <v>0</v>
      </c>
      <c r="M9" s="222">
        <v>0</v>
      </c>
      <c r="N9" s="206">
        <f t="shared" si="3"/>
        <v>0</v>
      </c>
      <c r="O9" s="222"/>
      <c r="P9" s="222"/>
      <c r="Q9" s="222"/>
      <c r="R9" s="206">
        <v>0</v>
      </c>
      <c r="S9" s="232">
        <f t="shared" si="0"/>
        <v>1006691.3200000001</v>
      </c>
    </row>
    <row r="10" spans="1:19" ht="76.5">
      <c r="A10" s="17" t="s">
        <v>179</v>
      </c>
      <c r="B10" s="208">
        <v>213</v>
      </c>
      <c r="C10" s="396"/>
      <c r="D10" s="396">
        <v>118584</v>
      </c>
      <c r="E10" s="396">
        <v>118584</v>
      </c>
      <c r="F10" s="416">
        <f t="shared" si="1"/>
        <v>237168</v>
      </c>
      <c r="G10" s="396">
        <v>118584</v>
      </c>
      <c r="H10" s="396">
        <f>ROUND(H7*30.2%,0)</f>
        <v>234794</v>
      </c>
      <c r="I10" s="396">
        <f>I9-I11</f>
        <v>156798.92</v>
      </c>
      <c r="J10" s="416">
        <f t="shared" si="2"/>
        <v>510176.92000000004</v>
      </c>
      <c r="K10" s="200">
        <v>0</v>
      </c>
      <c r="L10" s="200">
        <v>0</v>
      </c>
      <c r="M10" s="200">
        <v>0</v>
      </c>
      <c r="N10" s="206">
        <f t="shared" si="3"/>
        <v>0</v>
      </c>
      <c r="O10" s="200"/>
      <c r="P10" s="200"/>
      <c r="Q10" s="200"/>
      <c r="R10" s="206">
        <v>1</v>
      </c>
      <c r="S10" s="232">
        <f t="shared" si="0"/>
        <v>747345.92</v>
      </c>
    </row>
    <row r="11" spans="1:19" s="214" customFormat="1" ht="89.25">
      <c r="A11" s="17" t="s">
        <v>178</v>
      </c>
      <c r="B11" s="213">
        <v>213</v>
      </c>
      <c r="C11" s="396">
        <f>C9-C10</f>
        <v>0</v>
      </c>
      <c r="D11" s="396">
        <f>D9-D10</f>
        <v>46731.57999999999</v>
      </c>
      <c r="E11" s="396">
        <f>E9-E10</f>
        <v>46071.42000000001</v>
      </c>
      <c r="F11" s="443">
        <f t="shared" si="1"/>
        <v>92803</v>
      </c>
      <c r="G11" s="396">
        <v>46402</v>
      </c>
      <c r="H11" s="396">
        <f>H9-H10</f>
        <v>91022.40000000002</v>
      </c>
      <c r="I11" s="396">
        <v>29119</v>
      </c>
      <c r="J11" s="416">
        <f t="shared" si="2"/>
        <v>166543.40000000002</v>
      </c>
      <c r="K11" s="200">
        <v>0</v>
      </c>
      <c r="L11" s="200">
        <v>0</v>
      </c>
      <c r="M11" s="200">
        <v>0</v>
      </c>
      <c r="N11" s="206">
        <v>0</v>
      </c>
      <c r="O11" s="200">
        <f>O9-O10</f>
        <v>0</v>
      </c>
      <c r="P11" s="200">
        <f>P9-P10</f>
        <v>0</v>
      </c>
      <c r="Q11" s="200">
        <f>Q9-Q10</f>
        <v>0</v>
      </c>
      <c r="R11" s="206">
        <f t="shared" si="4"/>
        <v>0</v>
      </c>
      <c r="S11" s="232">
        <f t="shared" si="0"/>
        <v>259346.40000000002</v>
      </c>
    </row>
    <row r="12" spans="1:19" s="214" customFormat="1" ht="13.5">
      <c r="A12" s="17" t="s">
        <v>170</v>
      </c>
      <c r="B12" s="208">
        <v>310</v>
      </c>
      <c r="C12" s="396"/>
      <c r="D12" s="396"/>
      <c r="E12" s="396"/>
      <c r="F12" s="443">
        <f t="shared" si="1"/>
        <v>0</v>
      </c>
      <c r="G12" s="396">
        <v>32039</v>
      </c>
      <c r="H12" s="396"/>
      <c r="I12" s="396"/>
      <c r="J12" s="416">
        <f t="shared" si="2"/>
        <v>32039</v>
      </c>
      <c r="K12" s="200"/>
      <c r="L12" s="200"/>
      <c r="M12" s="200"/>
      <c r="N12" s="206">
        <f t="shared" si="3"/>
        <v>0</v>
      </c>
      <c r="O12" s="200"/>
      <c r="P12" s="200"/>
      <c r="Q12" s="200"/>
      <c r="R12" s="206">
        <f t="shared" si="4"/>
        <v>0</v>
      </c>
      <c r="S12" s="232">
        <f t="shared" si="0"/>
        <v>32039</v>
      </c>
    </row>
    <row r="13" spans="1:19" s="214" customFormat="1" ht="25.5">
      <c r="A13" s="198" t="s">
        <v>171</v>
      </c>
      <c r="B13" s="208">
        <v>340</v>
      </c>
      <c r="C13" s="396"/>
      <c r="D13" s="396"/>
      <c r="E13" s="396">
        <v>3360</v>
      </c>
      <c r="F13" s="443">
        <f t="shared" si="1"/>
        <v>3360</v>
      </c>
      <c r="G13" s="396"/>
      <c r="H13" s="396">
        <v>17570</v>
      </c>
      <c r="I13" s="396"/>
      <c r="J13" s="416">
        <f t="shared" si="2"/>
        <v>17570</v>
      </c>
      <c r="K13" s="200"/>
      <c r="L13" s="200"/>
      <c r="M13" s="200"/>
      <c r="N13" s="206">
        <f t="shared" si="3"/>
        <v>0</v>
      </c>
      <c r="O13" s="200"/>
      <c r="P13" s="200"/>
      <c r="Q13" s="200"/>
      <c r="R13" s="206">
        <f t="shared" si="4"/>
        <v>0</v>
      </c>
      <c r="S13" s="232">
        <f t="shared" si="0"/>
        <v>20930</v>
      </c>
    </row>
    <row r="14" spans="1:19" s="214" customFormat="1" ht="13.5">
      <c r="A14" s="198" t="s">
        <v>356</v>
      </c>
      <c r="B14" s="208"/>
      <c r="C14" s="281">
        <f>C13+C12+C9+C6</f>
        <v>218524</v>
      </c>
      <c r="D14" s="281">
        <f>D13+D12+D9+D6</f>
        <v>711296</v>
      </c>
      <c r="E14" s="281">
        <f>E13+E12+E9+E6</f>
        <v>714657</v>
      </c>
      <c r="F14" s="416">
        <f t="shared" si="1"/>
        <v>1644477</v>
      </c>
      <c r="G14" s="200">
        <f>G13+G12+G9+G6</f>
        <v>743336</v>
      </c>
      <c r="H14" s="200">
        <f>H13+H12+H9+H6</f>
        <v>1293155</v>
      </c>
      <c r="I14" s="200">
        <f>I13+I12+I9+I6</f>
        <v>768676</v>
      </c>
      <c r="J14" s="206">
        <f t="shared" si="2"/>
        <v>2805167</v>
      </c>
      <c r="K14" s="200">
        <f>K13+K12+K9+K6</f>
        <v>0</v>
      </c>
      <c r="L14" s="200">
        <f>L13+L12+L9+L6</f>
        <v>0</v>
      </c>
      <c r="M14" s="200">
        <f>M13+M12+M9+M6</f>
        <v>0</v>
      </c>
      <c r="N14" s="206">
        <f t="shared" si="3"/>
        <v>0</v>
      </c>
      <c r="O14" s="200">
        <f>O13+O12+O9+O6</f>
        <v>0</v>
      </c>
      <c r="P14" s="200">
        <f>P13+P12+P9+P6</f>
        <v>0</v>
      </c>
      <c r="Q14" s="200">
        <f>Q13+Q12+Q9+Q6</f>
        <v>0</v>
      </c>
      <c r="R14" s="206">
        <f t="shared" si="4"/>
        <v>0</v>
      </c>
      <c r="S14" s="232">
        <f t="shared" si="0"/>
        <v>4449644</v>
      </c>
    </row>
    <row r="15" spans="1:19" ht="13.5">
      <c r="A15" s="208" t="s">
        <v>159</v>
      </c>
      <c r="B15" s="204">
        <v>211</v>
      </c>
      <c r="C15" s="397">
        <f>C17</f>
        <v>60086</v>
      </c>
      <c r="D15" s="397">
        <f>D17</f>
        <v>174294</v>
      </c>
      <c r="E15" s="397">
        <f>E17</f>
        <v>167414</v>
      </c>
      <c r="F15" s="419">
        <f t="shared" si="1"/>
        <v>401794</v>
      </c>
      <c r="G15" s="397">
        <f>G17</f>
        <v>160048</v>
      </c>
      <c r="H15" s="397">
        <f>H17</f>
        <v>245664.15</v>
      </c>
      <c r="I15" s="397">
        <f>I17</f>
        <v>230460.85</v>
      </c>
      <c r="J15" s="416">
        <f t="shared" si="2"/>
        <v>636173</v>
      </c>
      <c r="K15" s="222">
        <v>0</v>
      </c>
      <c r="L15" s="222">
        <v>0</v>
      </c>
      <c r="M15" s="222">
        <v>0</v>
      </c>
      <c r="N15" s="206">
        <f t="shared" si="3"/>
        <v>0</v>
      </c>
      <c r="O15" s="222"/>
      <c r="P15" s="222"/>
      <c r="Q15" s="222"/>
      <c r="R15" s="206">
        <f t="shared" si="4"/>
        <v>0</v>
      </c>
      <c r="S15" s="232">
        <f t="shared" si="0"/>
        <v>1037967</v>
      </c>
    </row>
    <row r="16" spans="1:19" s="210" customFormat="1" ht="76.5">
      <c r="A16" s="17" t="s">
        <v>179</v>
      </c>
      <c r="B16" s="209">
        <v>211</v>
      </c>
      <c r="C16" s="294"/>
      <c r="D16" s="294"/>
      <c r="E16" s="294"/>
      <c r="F16" s="419">
        <f t="shared" si="1"/>
        <v>0</v>
      </c>
      <c r="G16" s="444"/>
      <c r="H16" s="423"/>
      <c r="I16" s="423"/>
      <c r="J16" s="416">
        <f t="shared" si="2"/>
        <v>0</v>
      </c>
      <c r="K16" s="205"/>
      <c r="L16" s="205"/>
      <c r="M16" s="205"/>
      <c r="N16" s="206">
        <f t="shared" si="3"/>
        <v>0</v>
      </c>
      <c r="O16" s="205"/>
      <c r="P16" s="205"/>
      <c r="Q16" s="205"/>
      <c r="R16" s="206">
        <f t="shared" si="4"/>
        <v>0</v>
      </c>
      <c r="S16" s="232">
        <f t="shared" si="0"/>
        <v>0</v>
      </c>
    </row>
    <row r="17" spans="1:19" ht="89.25">
      <c r="A17" s="17" t="s">
        <v>178</v>
      </c>
      <c r="B17" s="208">
        <v>211</v>
      </c>
      <c r="C17" s="396">
        <v>60086</v>
      </c>
      <c r="D17" s="396">
        <v>174294</v>
      </c>
      <c r="E17" s="396">
        <v>167414</v>
      </c>
      <c r="F17" s="416">
        <f t="shared" si="1"/>
        <v>401794</v>
      </c>
      <c r="G17" s="396">
        <v>160048</v>
      </c>
      <c r="H17" s="396">
        <v>245664.15</v>
      </c>
      <c r="I17" s="396">
        <v>230460.85</v>
      </c>
      <c r="J17" s="416">
        <f t="shared" si="2"/>
        <v>636173</v>
      </c>
      <c r="K17" s="308">
        <v>0</v>
      </c>
      <c r="L17" s="308">
        <v>0</v>
      </c>
      <c r="M17" s="308">
        <v>0</v>
      </c>
      <c r="N17" s="206">
        <f t="shared" si="3"/>
        <v>0</v>
      </c>
      <c r="O17" s="200">
        <f>O15-O16</f>
        <v>0</v>
      </c>
      <c r="P17" s="200">
        <f>P15-P16</f>
        <v>0</v>
      </c>
      <c r="Q17" s="200">
        <f>Q15-Q16</f>
        <v>0</v>
      </c>
      <c r="R17" s="206">
        <f t="shared" si="4"/>
        <v>0</v>
      </c>
      <c r="S17" s="232">
        <f t="shared" si="0"/>
        <v>1037967</v>
      </c>
    </row>
    <row r="18" spans="1:19" ht="13.5">
      <c r="A18" s="208" t="s">
        <v>159</v>
      </c>
      <c r="B18" s="204">
        <v>213</v>
      </c>
      <c r="C18" s="443">
        <f>C20</f>
        <v>50559</v>
      </c>
      <c r="D18" s="443">
        <f>D20</f>
        <v>50438</v>
      </c>
      <c r="E18" s="443">
        <f>E20</f>
        <v>50680</v>
      </c>
      <c r="F18" s="443">
        <f t="shared" si="1"/>
        <v>151677</v>
      </c>
      <c r="G18" s="443">
        <f>G20</f>
        <v>50559</v>
      </c>
      <c r="H18" s="443">
        <f>H20</f>
        <v>35576.03</v>
      </c>
      <c r="I18" s="443">
        <f>I20</f>
        <v>104398.21</v>
      </c>
      <c r="J18" s="416">
        <f t="shared" si="2"/>
        <v>190533.24</v>
      </c>
      <c r="K18" s="222">
        <v>0</v>
      </c>
      <c r="L18" s="222">
        <v>0</v>
      </c>
      <c r="M18" s="222">
        <v>0</v>
      </c>
      <c r="N18" s="206">
        <f t="shared" si="3"/>
        <v>0</v>
      </c>
      <c r="O18" s="222"/>
      <c r="P18" s="222"/>
      <c r="Q18" s="222"/>
      <c r="R18" s="206">
        <f t="shared" si="4"/>
        <v>0</v>
      </c>
      <c r="S18" s="232">
        <f t="shared" si="0"/>
        <v>342210.24</v>
      </c>
    </row>
    <row r="19" spans="1:19" ht="76.5">
      <c r="A19" s="17" t="s">
        <v>179</v>
      </c>
      <c r="B19" s="209">
        <v>213</v>
      </c>
      <c r="C19" s="294"/>
      <c r="D19" s="294"/>
      <c r="E19" s="294"/>
      <c r="F19" s="443">
        <f t="shared" si="1"/>
        <v>0</v>
      </c>
      <c r="G19" s="444"/>
      <c r="H19" s="444"/>
      <c r="I19" s="444"/>
      <c r="J19" s="416">
        <f t="shared" si="2"/>
        <v>0</v>
      </c>
      <c r="K19" s="205"/>
      <c r="L19" s="205"/>
      <c r="M19" s="205"/>
      <c r="N19" s="206">
        <f t="shared" si="3"/>
        <v>0</v>
      </c>
      <c r="O19" s="205"/>
      <c r="P19" s="205"/>
      <c r="Q19" s="205"/>
      <c r="R19" s="206">
        <f t="shared" si="4"/>
        <v>0</v>
      </c>
      <c r="S19" s="232">
        <f t="shared" si="0"/>
        <v>0</v>
      </c>
    </row>
    <row r="20" spans="1:19" s="210" customFormat="1" ht="89.25">
      <c r="A20" s="17" t="s">
        <v>178</v>
      </c>
      <c r="B20" s="208">
        <v>213</v>
      </c>
      <c r="C20" s="396">
        <v>50559</v>
      </c>
      <c r="D20" s="396">
        <v>50438</v>
      </c>
      <c r="E20" s="396">
        <v>50680</v>
      </c>
      <c r="F20" s="443">
        <f t="shared" si="1"/>
        <v>151677</v>
      </c>
      <c r="G20" s="396">
        <v>50559</v>
      </c>
      <c r="H20" s="396">
        <v>35576.03</v>
      </c>
      <c r="I20" s="396">
        <v>104398.21</v>
      </c>
      <c r="J20" s="416">
        <f t="shared" si="2"/>
        <v>190533.24</v>
      </c>
      <c r="K20" s="292">
        <v>0</v>
      </c>
      <c r="L20" s="292">
        <v>0</v>
      </c>
      <c r="M20" s="292">
        <v>0</v>
      </c>
      <c r="N20" s="206">
        <f t="shared" si="3"/>
        <v>0</v>
      </c>
      <c r="O20" s="200">
        <f>O18-O19</f>
        <v>0</v>
      </c>
      <c r="P20" s="200">
        <f>P18-P19</f>
        <v>0</v>
      </c>
      <c r="Q20" s="200">
        <f>Q18-Q19</f>
        <v>0</v>
      </c>
      <c r="R20" s="206">
        <f t="shared" si="4"/>
        <v>0</v>
      </c>
      <c r="S20" s="232">
        <f t="shared" si="0"/>
        <v>342210.24</v>
      </c>
    </row>
    <row r="21" spans="1:19" ht="25.5">
      <c r="A21" s="17" t="s">
        <v>160</v>
      </c>
      <c r="B21" s="208">
        <v>212</v>
      </c>
      <c r="C21" s="292">
        <v>0</v>
      </c>
      <c r="D21" s="292">
        <v>0</v>
      </c>
      <c r="E21" s="292">
        <v>0</v>
      </c>
      <c r="F21" s="293">
        <f t="shared" si="1"/>
        <v>0</v>
      </c>
      <c r="G21" s="396">
        <v>150</v>
      </c>
      <c r="H21" s="396">
        <v>150</v>
      </c>
      <c r="I21" s="396">
        <v>150</v>
      </c>
      <c r="J21" s="416">
        <f t="shared" si="2"/>
        <v>450</v>
      </c>
      <c r="K21" s="292">
        <v>0</v>
      </c>
      <c r="L21" s="292">
        <v>0</v>
      </c>
      <c r="M21" s="293">
        <v>0</v>
      </c>
      <c r="N21" s="206">
        <f t="shared" si="3"/>
        <v>0</v>
      </c>
      <c r="O21" s="200"/>
      <c r="P21" s="200"/>
      <c r="Q21" s="208"/>
      <c r="R21" s="206">
        <f t="shared" si="4"/>
        <v>0</v>
      </c>
      <c r="S21" s="232">
        <f t="shared" si="0"/>
        <v>450</v>
      </c>
    </row>
    <row r="22" spans="1:19" ht="13.5">
      <c r="A22" s="17" t="s">
        <v>161</v>
      </c>
      <c r="B22" s="208">
        <v>221</v>
      </c>
      <c r="C22" s="292">
        <v>0</v>
      </c>
      <c r="D22" s="396">
        <v>1512.91</v>
      </c>
      <c r="E22" s="396">
        <v>803.34</v>
      </c>
      <c r="F22" s="443">
        <f t="shared" si="1"/>
        <v>2316.25</v>
      </c>
      <c r="G22" s="396">
        <v>915.56</v>
      </c>
      <c r="H22" s="396">
        <v>824.58</v>
      </c>
      <c r="I22" s="396">
        <v>779.74</v>
      </c>
      <c r="J22" s="416">
        <f t="shared" si="2"/>
        <v>2519.88</v>
      </c>
      <c r="K22" s="292">
        <v>0</v>
      </c>
      <c r="L22" s="292">
        <v>0</v>
      </c>
      <c r="M22" s="293">
        <v>0</v>
      </c>
      <c r="N22" s="206">
        <f t="shared" si="3"/>
        <v>0</v>
      </c>
      <c r="O22" s="200"/>
      <c r="P22" s="200"/>
      <c r="Q22" s="208"/>
      <c r="R22" s="206">
        <f t="shared" si="4"/>
        <v>0</v>
      </c>
      <c r="S22" s="232">
        <f t="shared" si="0"/>
        <v>4836.13</v>
      </c>
    </row>
    <row r="23" spans="1:19" ht="13.5">
      <c r="A23" s="17" t="s">
        <v>162</v>
      </c>
      <c r="B23" s="208">
        <v>223</v>
      </c>
      <c r="C23" s="443">
        <v>91416.68</v>
      </c>
      <c r="D23" s="443">
        <v>27200.9</v>
      </c>
      <c r="E23" s="443">
        <v>334282.32</v>
      </c>
      <c r="F23" s="443">
        <f t="shared" si="1"/>
        <v>452899.9</v>
      </c>
      <c r="G23" s="443">
        <v>107766.41</v>
      </c>
      <c r="H23" s="443">
        <v>105604.82</v>
      </c>
      <c r="I23" s="443">
        <v>30716.31</v>
      </c>
      <c r="J23" s="416">
        <f t="shared" si="2"/>
        <v>244087.54</v>
      </c>
      <c r="K23" s="293">
        <v>0</v>
      </c>
      <c r="L23" s="293">
        <v>0</v>
      </c>
      <c r="M23" s="293">
        <v>0</v>
      </c>
      <c r="N23" s="206">
        <f t="shared" si="3"/>
        <v>0</v>
      </c>
      <c r="O23" s="208"/>
      <c r="P23" s="208"/>
      <c r="Q23" s="208"/>
      <c r="R23" s="206">
        <f t="shared" si="4"/>
        <v>0</v>
      </c>
      <c r="S23" s="232">
        <f t="shared" si="0"/>
        <v>696987.4400000001</v>
      </c>
    </row>
    <row r="24" spans="1:19" ht="26.25">
      <c r="A24" s="197" t="s">
        <v>361</v>
      </c>
      <c r="B24" s="208">
        <v>225</v>
      </c>
      <c r="C24" s="443">
        <v>0</v>
      </c>
      <c r="D24" s="443">
        <v>11957.41</v>
      </c>
      <c r="E24" s="443">
        <v>19306.67</v>
      </c>
      <c r="F24" s="443">
        <f t="shared" si="1"/>
        <v>31264.079999999998</v>
      </c>
      <c r="G24" s="443">
        <v>4351.3</v>
      </c>
      <c r="H24" s="443">
        <v>25007.41</v>
      </c>
      <c r="I24" s="443">
        <v>98417.88</v>
      </c>
      <c r="J24" s="416">
        <f t="shared" si="2"/>
        <v>127776.59</v>
      </c>
      <c r="K24" s="293">
        <v>0</v>
      </c>
      <c r="L24" s="293">
        <v>0</v>
      </c>
      <c r="M24" s="293">
        <v>0</v>
      </c>
      <c r="N24" s="206">
        <f t="shared" si="3"/>
        <v>0</v>
      </c>
      <c r="O24" s="208"/>
      <c r="P24" s="208"/>
      <c r="Q24" s="208"/>
      <c r="R24" s="206">
        <f t="shared" si="4"/>
        <v>0</v>
      </c>
      <c r="S24" s="232">
        <f t="shared" si="0"/>
        <v>159040.66999999998</v>
      </c>
    </row>
    <row r="25" spans="1:19" ht="13.5">
      <c r="A25" s="17" t="s">
        <v>358</v>
      </c>
      <c r="B25" s="208">
        <v>226</v>
      </c>
      <c r="C25" s="443">
        <v>0</v>
      </c>
      <c r="D25" s="443">
        <v>1000.1</v>
      </c>
      <c r="E25" s="443">
        <v>2000.2</v>
      </c>
      <c r="F25" s="443">
        <f t="shared" si="1"/>
        <v>3000.3</v>
      </c>
      <c r="G25" s="443">
        <v>0</v>
      </c>
      <c r="H25" s="443">
        <v>1000.1</v>
      </c>
      <c r="I25" s="443">
        <v>7020.1</v>
      </c>
      <c r="J25" s="416">
        <f t="shared" si="2"/>
        <v>8020.200000000001</v>
      </c>
      <c r="K25" s="293">
        <v>0</v>
      </c>
      <c r="L25" s="293">
        <v>0</v>
      </c>
      <c r="M25" s="293">
        <v>0</v>
      </c>
      <c r="N25" s="206">
        <f t="shared" si="3"/>
        <v>0</v>
      </c>
      <c r="O25" s="208"/>
      <c r="P25" s="208"/>
      <c r="Q25" s="208"/>
      <c r="R25" s="206">
        <f t="shared" si="4"/>
        <v>0</v>
      </c>
      <c r="S25" s="232">
        <f t="shared" si="0"/>
        <v>11020.5</v>
      </c>
    </row>
    <row r="26" spans="1:19" ht="13.5">
      <c r="A26" s="17" t="s">
        <v>359</v>
      </c>
      <c r="B26" s="208">
        <v>290</v>
      </c>
      <c r="C26" s="443">
        <v>0</v>
      </c>
      <c r="D26" s="443">
        <v>0</v>
      </c>
      <c r="E26" s="443">
        <v>0</v>
      </c>
      <c r="F26" s="443">
        <f>SUM(C26:E26)</f>
        <v>0</v>
      </c>
      <c r="G26" s="443"/>
      <c r="H26" s="443"/>
      <c r="I26" s="443"/>
      <c r="J26" s="416">
        <f>SUM(G26:I26)</f>
        <v>0</v>
      </c>
      <c r="K26" s="293"/>
      <c r="L26" s="293"/>
      <c r="M26" s="293"/>
      <c r="N26" s="206">
        <f t="shared" si="3"/>
        <v>0</v>
      </c>
      <c r="O26" s="208"/>
      <c r="P26" s="208"/>
      <c r="Q26" s="208"/>
      <c r="R26" s="206">
        <f t="shared" si="4"/>
        <v>0</v>
      </c>
      <c r="S26" s="232">
        <f>R26+N26+J26+F26</f>
        <v>0</v>
      </c>
    </row>
    <row r="27" spans="1:19" ht="13.5">
      <c r="A27" s="17" t="s">
        <v>360</v>
      </c>
      <c r="B27" s="208">
        <v>290</v>
      </c>
      <c r="C27" s="443">
        <v>0</v>
      </c>
      <c r="D27" s="443">
        <v>207107</v>
      </c>
      <c r="E27" s="443">
        <v>30855</v>
      </c>
      <c r="F27" s="443">
        <f t="shared" si="1"/>
        <v>237962</v>
      </c>
      <c r="G27" s="443">
        <v>120848</v>
      </c>
      <c r="H27" s="443"/>
      <c r="I27" s="443"/>
      <c r="J27" s="416">
        <f t="shared" si="2"/>
        <v>120848</v>
      </c>
      <c r="K27" s="293">
        <v>0</v>
      </c>
      <c r="L27" s="293">
        <v>0</v>
      </c>
      <c r="M27" s="293">
        <v>0</v>
      </c>
      <c r="N27" s="206">
        <f t="shared" si="3"/>
        <v>0</v>
      </c>
      <c r="O27" s="208"/>
      <c r="P27" s="208"/>
      <c r="Q27" s="208"/>
      <c r="R27" s="206">
        <f t="shared" si="4"/>
        <v>0</v>
      </c>
      <c r="S27" s="232">
        <f>R27+N27+J27+F27</f>
        <v>358810</v>
      </c>
    </row>
    <row r="28" spans="1:19" ht="13.5">
      <c r="A28" s="17" t="s">
        <v>170</v>
      </c>
      <c r="B28" s="208">
        <v>310</v>
      </c>
      <c r="C28" s="396"/>
      <c r="D28" s="396"/>
      <c r="E28" s="396"/>
      <c r="F28" s="398">
        <f t="shared" si="1"/>
        <v>0</v>
      </c>
      <c r="G28" s="281">
        <v>0</v>
      </c>
      <c r="H28" s="281"/>
      <c r="I28" s="281"/>
      <c r="J28" s="398">
        <f t="shared" si="2"/>
        <v>0</v>
      </c>
      <c r="K28" s="200"/>
      <c r="L28" s="200"/>
      <c r="M28" s="208"/>
      <c r="N28" s="206">
        <f t="shared" si="3"/>
        <v>0</v>
      </c>
      <c r="O28" s="200"/>
      <c r="P28" s="200"/>
      <c r="Q28" s="208"/>
      <c r="R28" s="206">
        <f t="shared" si="4"/>
        <v>0</v>
      </c>
      <c r="S28" s="232">
        <f t="shared" si="0"/>
        <v>0</v>
      </c>
    </row>
    <row r="29" spans="1:19" ht="25.5">
      <c r="A29" s="198" t="s">
        <v>171</v>
      </c>
      <c r="B29" s="208">
        <v>340</v>
      </c>
      <c r="C29" s="396">
        <v>0</v>
      </c>
      <c r="D29" s="396">
        <v>0</v>
      </c>
      <c r="E29" s="396">
        <v>0</v>
      </c>
      <c r="F29" s="398">
        <f t="shared" si="1"/>
        <v>0</v>
      </c>
      <c r="G29" s="281">
        <v>0</v>
      </c>
      <c r="H29" s="281"/>
      <c r="I29" s="281"/>
      <c r="J29" s="398">
        <f t="shared" si="2"/>
        <v>0</v>
      </c>
      <c r="K29" s="200"/>
      <c r="L29" s="200"/>
      <c r="M29" s="208"/>
      <c r="N29" s="206">
        <f t="shared" si="3"/>
        <v>0</v>
      </c>
      <c r="O29" s="200"/>
      <c r="P29" s="200"/>
      <c r="Q29" s="208"/>
      <c r="R29" s="206"/>
      <c r="S29" s="232">
        <f t="shared" si="0"/>
        <v>0</v>
      </c>
    </row>
    <row r="30" spans="1:19" ht="13.5">
      <c r="A30" s="198" t="s">
        <v>357</v>
      </c>
      <c r="B30" s="208"/>
      <c r="C30" s="399">
        <f>C29+C28+C27+C26+C25+C24+C23+C22+C21+C18+C15</f>
        <v>202061.68</v>
      </c>
      <c r="D30" s="399">
        <f>D29+D28+D27+D26+D25+D24+D23+D22+D21+D18+D15</f>
        <v>473510.32</v>
      </c>
      <c r="E30" s="399">
        <f>E29+E28+E27+E26+E25+E24+E23+E22+E21+E18+E15</f>
        <v>605341.53</v>
      </c>
      <c r="F30" s="398">
        <f t="shared" si="1"/>
        <v>1280913.53</v>
      </c>
      <c r="G30" s="399">
        <f>G29+G28+G27+G26+G25+G24+G23+G22+G21+G18+G15</f>
        <v>444638.27</v>
      </c>
      <c r="H30" s="399">
        <f>H29+H28+H27+H26+H25+H24+H23+H22+H21+H18+H15</f>
        <v>413827.08999999997</v>
      </c>
      <c r="I30" s="399">
        <f>I29+I28+I27+I26+I25+I24+I23+I22+I21+I18+I15</f>
        <v>471943.08999999997</v>
      </c>
      <c r="J30" s="398">
        <f t="shared" si="2"/>
        <v>1330408.45</v>
      </c>
      <c r="K30" s="208">
        <f>K29+K28+K27+K26+K25+K24+K23+K22+K21+K18+K15</f>
        <v>0</v>
      </c>
      <c r="L30" s="208">
        <f>L29+L28+L27+L26+L25+L24+L23+L22+L21+L18+L15</f>
        <v>0</v>
      </c>
      <c r="M30" s="208">
        <f>M29+M28+M27+M26+M25+M24+M23+M22+M21+M18+M15</f>
        <v>0</v>
      </c>
      <c r="N30" s="206">
        <f t="shared" si="3"/>
        <v>0</v>
      </c>
      <c r="O30" s="208">
        <f>O29+O28+O27+O26+O25+O24+O23+O22+O21+O18+O15</f>
        <v>0</v>
      </c>
      <c r="P30" s="208">
        <f>P29+P28+P27+P26+P25+P24+P23+P22+P21+P18+P15</f>
        <v>0</v>
      </c>
      <c r="Q30" s="208">
        <f>Q29+Q28+Q27+Q26+Q25+Q24+Q23+Q22+Q21+Q18+Q15</f>
        <v>0</v>
      </c>
      <c r="R30" s="206">
        <f t="shared" si="4"/>
        <v>0</v>
      </c>
      <c r="S30" s="232">
        <f t="shared" si="0"/>
        <v>2611321.98</v>
      </c>
    </row>
    <row r="31" spans="1:19" ht="13.5">
      <c r="A31" s="223" t="s">
        <v>362</v>
      </c>
      <c r="B31" s="224"/>
      <c r="C31" s="224">
        <f>C7+C10+C16+C19+C12+C13+C4+C5</f>
        <v>157065</v>
      </c>
      <c r="D31" s="224">
        <f>D7+D10+D16+D19+D12+D13+D4+D5</f>
        <v>511247</v>
      </c>
      <c r="E31" s="224">
        <f>E7+E10+E16+E19+E12+E13+E4+E5</f>
        <v>514607</v>
      </c>
      <c r="F31" s="231">
        <f t="shared" si="1"/>
        <v>1182919</v>
      </c>
      <c r="G31" s="224">
        <f>G7+G10+G16+G19+G12+G13+G4+G5</f>
        <v>543286</v>
      </c>
      <c r="H31" s="224">
        <f>H7+H10+H16+H19+H12+H13+H4+H5</f>
        <v>1029828.6</v>
      </c>
      <c r="I31" s="224">
        <f>I7+I10+I16+I19+I12+I13+I4+I5</f>
        <v>720723.54</v>
      </c>
      <c r="J31" s="231">
        <f t="shared" si="2"/>
        <v>2293838.14</v>
      </c>
      <c r="K31" s="224">
        <f>K7+K10+K16+K19+K12+K13+K4+K5</f>
        <v>0</v>
      </c>
      <c r="L31" s="224">
        <f>L7+L10+L16+L19+L12+L13+L4+L5</f>
        <v>0</v>
      </c>
      <c r="M31" s="224">
        <f>M7+M10+M16+M19+M12+M13+M4+M5</f>
        <v>0</v>
      </c>
      <c r="N31" s="231">
        <f t="shared" si="3"/>
        <v>0</v>
      </c>
      <c r="O31" s="224">
        <f>O7+O10+O16+O19+O12+O13+O4+O5</f>
        <v>0</v>
      </c>
      <c r="P31" s="224">
        <f>P7+P10+P16+P19+P12+P13+P4+P5</f>
        <v>0</v>
      </c>
      <c r="Q31" s="224">
        <f>Q7+Q10+Q16+Q19+Q12+Q13+Q4+Q5</f>
        <v>0</v>
      </c>
      <c r="R31" s="231">
        <f t="shared" si="4"/>
        <v>0</v>
      </c>
      <c r="S31" s="233">
        <f t="shared" si="0"/>
        <v>3476757.14</v>
      </c>
    </row>
    <row r="32" spans="1:19" ht="13.5">
      <c r="A32" s="207" t="s">
        <v>172</v>
      </c>
      <c r="B32" s="216"/>
      <c r="C32" s="216">
        <f>C7+C10+C12+C13</f>
        <v>157065</v>
      </c>
      <c r="D32" s="216">
        <f>D7+D10+D12+D13</f>
        <v>511247</v>
      </c>
      <c r="E32" s="216">
        <f>E7+E10+E12+E13</f>
        <v>514607</v>
      </c>
      <c r="F32" s="206">
        <f t="shared" si="1"/>
        <v>1182919</v>
      </c>
      <c r="G32" s="216">
        <f>G7+G10+G12+G13</f>
        <v>543286</v>
      </c>
      <c r="H32" s="216">
        <f>H7+H10+H12+H13</f>
        <v>1029828.6</v>
      </c>
      <c r="I32" s="216">
        <f>I7+I10+I12+I13</f>
        <v>720723.54</v>
      </c>
      <c r="J32" s="206">
        <f t="shared" si="2"/>
        <v>2293838.14</v>
      </c>
      <c r="K32" s="216">
        <f>K7+K10+K12+K13</f>
        <v>0</v>
      </c>
      <c r="L32" s="216">
        <f>L7+L10+L12+L13</f>
        <v>0</v>
      </c>
      <c r="M32" s="216">
        <f>M7+M10+M12+M13</f>
        <v>0</v>
      </c>
      <c r="N32" s="206">
        <f t="shared" si="3"/>
        <v>0</v>
      </c>
      <c r="O32" s="216">
        <f>O7+O10+O12+O13</f>
        <v>0</v>
      </c>
      <c r="P32" s="216">
        <f>P7+P10+P12+P13</f>
        <v>0</v>
      </c>
      <c r="Q32" s="216">
        <f>Q7+Q10+Q12+Q13</f>
        <v>0</v>
      </c>
      <c r="R32" s="206">
        <f t="shared" si="4"/>
        <v>0</v>
      </c>
      <c r="S32" s="232">
        <f t="shared" si="0"/>
        <v>3476757.14</v>
      </c>
    </row>
    <row r="33" spans="1:19" ht="13.5" hidden="1">
      <c r="A33" s="207" t="s">
        <v>363</v>
      </c>
      <c r="C33" s="207">
        <f>C4+C5</f>
        <v>0</v>
      </c>
      <c r="D33" s="207">
        <f>D4+D5</f>
        <v>0</v>
      </c>
      <c r="E33" s="207">
        <f>E4+E5</f>
        <v>0</v>
      </c>
      <c r="F33" s="206">
        <f t="shared" si="1"/>
        <v>0</v>
      </c>
      <c r="G33" s="207">
        <f>G4+G5</f>
        <v>0</v>
      </c>
      <c r="H33" s="207">
        <f>H4+H5</f>
        <v>0</v>
      </c>
      <c r="I33" s="207">
        <f>I4+I5</f>
        <v>0</v>
      </c>
      <c r="J33" s="206">
        <f t="shared" si="2"/>
        <v>0</v>
      </c>
      <c r="K33" s="312">
        <f>K4+K5</f>
        <v>0</v>
      </c>
      <c r="L33" s="312">
        <f>L4+L5</f>
        <v>0</v>
      </c>
      <c r="M33" s="312">
        <f>M4+M5</f>
        <v>0</v>
      </c>
      <c r="N33" s="206">
        <f t="shared" si="3"/>
        <v>0</v>
      </c>
      <c r="O33" s="207">
        <f>O4+O5</f>
        <v>0</v>
      </c>
      <c r="P33" s="207">
        <f>P4+P5</f>
        <v>0</v>
      </c>
      <c r="Q33" s="207">
        <f>Q4+Q5</f>
        <v>0</v>
      </c>
      <c r="R33" s="206">
        <f t="shared" si="4"/>
        <v>0</v>
      </c>
      <c r="S33" s="232">
        <f t="shared" si="0"/>
        <v>0</v>
      </c>
    </row>
    <row r="34" spans="1:19" s="217" customFormat="1" ht="13.5">
      <c r="A34" s="207" t="s">
        <v>173</v>
      </c>
      <c r="B34" s="215"/>
      <c r="C34" s="216">
        <f>C16+C19</f>
        <v>0</v>
      </c>
      <c r="D34" s="216">
        <f>D16+D19</f>
        <v>0</v>
      </c>
      <c r="E34" s="216">
        <f>E16+E19</f>
        <v>0</v>
      </c>
      <c r="F34" s="206">
        <f t="shared" si="1"/>
        <v>0</v>
      </c>
      <c r="G34" s="216">
        <f>G16+G19</f>
        <v>0</v>
      </c>
      <c r="H34" s="216">
        <f>H16+H19</f>
        <v>0</v>
      </c>
      <c r="I34" s="216">
        <f>I16+I19</f>
        <v>0</v>
      </c>
      <c r="J34" s="206">
        <f t="shared" si="2"/>
        <v>0</v>
      </c>
      <c r="K34" s="216">
        <f>K16+K19</f>
        <v>0</v>
      </c>
      <c r="L34" s="216">
        <f>L16+L19</f>
        <v>0</v>
      </c>
      <c r="M34" s="216">
        <f>M16+M19</f>
        <v>0</v>
      </c>
      <c r="N34" s="206">
        <f t="shared" si="3"/>
        <v>0</v>
      </c>
      <c r="O34" s="216">
        <f>O16+O19</f>
        <v>0</v>
      </c>
      <c r="P34" s="216">
        <f>P16+P19</f>
        <v>0</v>
      </c>
      <c r="Q34" s="216">
        <f>Q16+Q19</f>
        <v>0</v>
      </c>
      <c r="R34" s="206">
        <f t="shared" si="4"/>
        <v>0</v>
      </c>
      <c r="S34" s="232">
        <f t="shared" si="0"/>
        <v>0</v>
      </c>
    </row>
    <row r="35" spans="1:19" s="217" customFormat="1" ht="6" customHeight="1">
      <c r="A35" s="207"/>
      <c r="B35" s="215"/>
      <c r="C35" s="215"/>
      <c r="D35" s="215"/>
      <c r="E35" s="215"/>
      <c r="F35" s="208"/>
      <c r="G35" s="215"/>
      <c r="H35" s="215"/>
      <c r="I35" s="215"/>
      <c r="J35" s="208"/>
      <c r="K35" s="215"/>
      <c r="L35" s="215"/>
      <c r="M35" s="215"/>
      <c r="N35" s="208"/>
      <c r="O35" s="215"/>
      <c r="P35" s="215"/>
      <c r="Q35" s="215"/>
      <c r="R35" s="208"/>
      <c r="S35" s="234"/>
    </row>
    <row r="36" spans="1:19" ht="13.5">
      <c r="A36" s="223" t="s">
        <v>364</v>
      </c>
      <c r="B36" s="227"/>
      <c r="C36" s="227">
        <f>C8+C11+C17+C20+C21+C22+C23+C24+C25+C26+C28+C29</f>
        <v>263520.68</v>
      </c>
      <c r="D36" s="227">
        <f>D8+D11+D17+D20+D21+D22+D23+D24+D25+D26+D28+D29</f>
        <v>466452.31999999995</v>
      </c>
      <c r="E36" s="227">
        <f>E8+E11+E17+E20+E21+E22+E23+E24+E25+E26+E28+E29</f>
        <v>774536.53</v>
      </c>
      <c r="F36" s="231">
        <f t="shared" si="1"/>
        <v>1504509.53</v>
      </c>
      <c r="G36" s="227">
        <f>G8+G11+G17+G20+G21+G22+G23+G24+G25+G26+G28+G29</f>
        <v>523840.26999999996</v>
      </c>
      <c r="H36" s="227">
        <f>H8+H11+H17+H20+H21+H22+H23+H24+H25+H26+H28+H29</f>
        <v>677153.49</v>
      </c>
      <c r="I36" s="227">
        <f>I8+I11+I17+I20+I21+I22+I23+I24+I25+I26+I28+I29</f>
        <v>519895.54999999993</v>
      </c>
      <c r="J36" s="231">
        <f>SUM(G36:I36)</f>
        <v>1720889.31</v>
      </c>
      <c r="K36" s="227">
        <f>K8+K11+K17+K20+K21+K22+K23+K24+K25+K26+K28+K29</f>
        <v>0</v>
      </c>
      <c r="L36" s="227">
        <f>L8+L11+L17+L20+L21+L22+L23+L24+L25+L26+L28+L29</f>
        <v>0</v>
      </c>
      <c r="M36" s="227">
        <f>M8+M11+M17+M20+M21+M22+M23+M24+M25+M26+M28+M29</f>
        <v>0</v>
      </c>
      <c r="N36" s="231">
        <f>SUM(K36:M36)</f>
        <v>0</v>
      </c>
      <c r="O36" s="227">
        <f>O8+O11+O17+O20+O21+O22+O23+O24+O25+O26+O28+O29</f>
        <v>0</v>
      </c>
      <c r="P36" s="227">
        <f>P8+P11+P17+P20+P21+P22+P23+P24+P25+P26+P28+P29</f>
        <v>0</v>
      </c>
      <c r="Q36" s="227">
        <f>Q8+Q11+Q17+Q20+Q21+Q22+Q23+Q24+Q25+Q26+Q28+Q29</f>
        <v>0</v>
      </c>
      <c r="R36" s="231">
        <f>SUM(O36:Q36)</f>
        <v>0</v>
      </c>
      <c r="S36" s="233">
        <f t="shared" si="0"/>
        <v>3225398.84</v>
      </c>
    </row>
    <row r="37" spans="1:19" ht="13.5">
      <c r="A37" s="216" t="s">
        <v>172</v>
      </c>
      <c r="C37" s="207">
        <f>C8+C11</f>
        <v>61459</v>
      </c>
      <c r="D37" s="207">
        <f>D8+D11</f>
        <v>200049.00000000003</v>
      </c>
      <c r="E37" s="207">
        <f>E8+E11</f>
        <v>200049.99999999997</v>
      </c>
      <c r="F37" s="206">
        <f t="shared" si="1"/>
        <v>461558</v>
      </c>
      <c r="G37" s="207">
        <f>G8+G11</f>
        <v>200050</v>
      </c>
      <c r="H37" s="207">
        <f>H8+H11</f>
        <v>263326.4</v>
      </c>
      <c r="I37" s="207">
        <f>I8+I11</f>
        <v>47952.45999999996</v>
      </c>
      <c r="J37" s="206">
        <f>SUM(G37:I37)</f>
        <v>511328.86</v>
      </c>
      <c r="K37" s="207">
        <f>K8+K11</f>
        <v>0</v>
      </c>
      <c r="L37" s="207">
        <f>L8+L11</f>
        <v>0</v>
      </c>
      <c r="M37" s="207">
        <f>M8+M11</f>
        <v>0</v>
      </c>
      <c r="N37" s="206">
        <f>SUM(K37:M37)</f>
        <v>0</v>
      </c>
      <c r="O37" s="207">
        <f>O8+O11</f>
        <v>0</v>
      </c>
      <c r="P37" s="207">
        <f>P8+P11</f>
        <v>0</v>
      </c>
      <c r="Q37" s="207">
        <f>Q8+Q11</f>
        <v>0</v>
      </c>
      <c r="R37" s="206">
        <f>SUM(O37:Q37)</f>
        <v>0</v>
      </c>
      <c r="S37" s="232">
        <f t="shared" si="0"/>
        <v>972886.86</v>
      </c>
    </row>
    <row r="38" spans="1:19" ht="13.5">
      <c r="A38" s="207" t="s">
        <v>173</v>
      </c>
      <c r="C38" s="207">
        <f>C17+C20+C21+C22+C23+C24+C25+C26+C28+C29</f>
        <v>202061.68</v>
      </c>
      <c r="D38" s="207">
        <f>D17+D20+D21+D22+D23+D24+D25+D26+D28+D29</f>
        <v>266403.31999999995</v>
      </c>
      <c r="E38" s="207">
        <f>E17+E20+E21+E22+E23+E24+E25+E26+E28+E29</f>
        <v>574486.53</v>
      </c>
      <c r="F38" s="206">
        <f t="shared" si="1"/>
        <v>1042951.53</v>
      </c>
      <c r="G38" s="207">
        <f>G17+G20+G21+G22+G23+G24+G25+G26+G28+G29</f>
        <v>323790.26999999996</v>
      </c>
      <c r="H38" s="207">
        <f>H17+H20+H21+H22+H23+H24+H25+H26+H28+H29</f>
        <v>413827.08999999997</v>
      </c>
      <c r="I38" s="207">
        <f>I17+I20+I21+I22+I23+I24+I25+I26+I28+I29</f>
        <v>471943.08999999997</v>
      </c>
      <c r="J38" s="206">
        <f>SUM(G38:I38)</f>
        <v>1209560.4499999997</v>
      </c>
      <c r="K38" s="207">
        <f>K17+K20+K21+K22+K23+K24+K25+K26+K28+K29</f>
        <v>0</v>
      </c>
      <c r="L38" s="207">
        <f>L17+L20+L21+L22+L23+L24+L25+L26+L28+L29</f>
        <v>0</v>
      </c>
      <c r="M38" s="207">
        <f>M17+M20+M21+M22+M23+M24+M25+M26+M28+M29</f>
        <v>0</v>
      </c>
      <c r="N38" s="206">
        <f>SUM(K38:M38)</f>
        <v>0</v>
      </c>
      <c r="O38" s="207">
        <f>O17+O20+O21+O22+O23+O24+O25+O26+O28+O29</f>
        <v>0</v>
      </c>
      <c r="P38" s="207">
        <f>P17+P20+P21+P22+P23+P24+P25+P26+P28+P29</f>
        <v>0</v>
      </c>
      <c r="Q38" s="207">
        <f>Q17+Q20+Q21+Q22+Q23+Q24+Q25+Q26+Q28+Q29</f>
        <v>0</v>
      </c>
      <c r="R38" s="206">
        <f>SUM(O38:Q38)</f>
        <v>0</v>
      </c>
      <c r="S38" s="232">
        <f t="shared" si="0"/>
        <v>2252511.9799999995</v>
      </c>
    </row>
    <row r="39" spans="6:19" ht="5.25" customHeight="1" hidden="1">
      <c r="F39" s="208"/>
      <c r="J39" s="208"/>
      <c r="N39" s="208"/>
      <c r="R39" s="208"/>
      <c r="S39" s="234"/>
    </row>
    <row r="40" spans="1:19" s="216" customFormat="1" ht="13.5">
      <c r="A40" s="223" t="s">
        <v>365</v>
      </c>
      <c r="B40" s="224"/>
      <c r="C40" s="224">
        <f>C27</f>
        <v>0</v>
      </c>
      <c r="D40" s="224">
        <f>D27</f>
        <v>207107</v>
      </c>
      <c r="E40" s="224">
        <f>E27</f>
        <v>30855</v>
      </c>
      <c r="F40" s="231">
        <f t="shared" si="1"/>
        <v>237962</v>
      </c>
      <c r="G40" s="224">
        <f>G27</f>
        <v>120848</v>
      </c>
      <c r="H40" s="224">
        <f>H27</f>
        <v>0</v>
      </c>
      <c r="I40" s="224">
        <f>I27</f>
        <v>0</v>
      </c>
      <c r="J40" s="231">
        <f>SUM(G40:I40)</f>
        <v>120848</v>
      </c>
      <c r="K40" s="224">
        <f>K27</f>
        <v>0</v>
      </c>
      <c r="L40" s="224">
        <f>L27</f>
        <v>0</v>
      </c>
      <c r="M40" s="224">
        <f>M27</f>
        <v>0</v>
      </c>
      <c r="N40" s="231">
        <f>SUM(K40:M40)</f>
        <v>0</v>
      </c>
      <c r="O40" s="224">
        <f>O27</f>
        <v>0</v>
      </c>
      <c r="P40" s="224">
        <f>P27</f>
        <v>0</v>
      </c>
      <c r="Q40" s="224">
        <f>Q27</f>
        <v>0</v>
      </c>
      <c r="R40" s="231">
        <f>SUM(O40:Q40)</f>
        <v>0</v>
      </c>
      <c r="S40" s="233">
        <f t="shared" si="0"/>
        <v>358810</v>
      </c>
    </row>
    <row r="41" spans="1:19" s="199" customFormat="1" ht="13.5">
      <c r="A41" s="207" t="s">
        <v>173</v>
      </c>
      <c r="C41" s="199">
        <f>C27</f>
        <v>0</v>
      </c>
      <c r="D41" s="199">
        <f>D27</f>
        <v>207107</v>
      </c>
      <c r="E41" s="199">
        <f>E27</f>
        <v>30855</v>
      </c>
      <c r="F41" s="206">
        <f t="shared" si="1"/>
        <v>237962</v>
      </c>
      <c r="G41" s="199">
        <f>G27</f>
        <v>120848</v>
      </c>
      <c r="H41" s="199">
        <f>H27</f>
        <v>0</v>
      </c>
      <c r="I41" s="199">
        <f>I27</f>
        <v>0</v>
      </c>
      <c r="J41" s="206">
        <f>SUM(G41:I41)</f>
        <v>120848</v>
      </c>
      <c r="K41" s="199">
        <f>K27</f>
        <v>0</v>
      </c>
      <c r="L41" s="199">
        <f>L27</f>
        <v>0</v>
      </c>
      <c r="M41" s="199">
        <f>M27</f>
        <v>0</v>
      </c>
      <c r="N41" s="206">
        <f>SUM(K41:M41)</f>
        <v>0</v>
      </c>
      <c r="O41" s="199">
        <f>O27</f>
        <v>0</v>
      </c>
      <c r="P41" s="199">
        <f>P27</f>
        <v>0</v>
      </c>
      <c r="Q41" s="199">
        <f>Q27</f>
        <v>0</v>
      </c>
      <c r="R41" s="206">
        <f>SUM(O41:Q41)</f>
        <v>0</v>
      </c>
      <c r="S41" s="232">
        <f t="shared" si="0"/>
        <v>358810</v>
      </c>
    </row>
    <row r="42" spans="1:19" s="225" customFormat="1" ht="13.5">
      <c r="A42" s="228" t="s">
        <v>174</v>
      </c>
      <c r="B42" s="229"/>
      <c r="C42" s="400">
        <f>C31+C36+C40</f>
        <v>420585.68</v>
      </c>
      <c r="D42" s="400">
        <f>D31+D36+D40</f>
        <v>1184806.3199999998</v>
      </c>
      <c r="E42" s="400">
        <f>E31+E36+E40</f>
        <v>1319998.53</v>
      </c>
      <c r="F42" s="401">
        <f t="shared" si="1"/>
        <v>2925390.53</v>
      </c>
      <c r="G42" s="400">
        <f>G31+G36+G40</f>
        <v>1187974.27</v>
      </c>
      <c r="H42" s="400">
        <f>H31+H36+H40</f>
        <v>1706982.0899999999</v>
      </c>
      <c r="I42" s="400">
        <f>I31+I36+I40</f>
        <v>1240619.0899999999</v>
      </c>
      <c r="J42" s="401">
        <f>SUM(G42:I42)</f>
        <v>4135575.4499999997</v>
      </c>
      <c r="K42" s="230">
        <f>K31+K36+K40</f>
        <v>0</v>
      </c>
      <c r="L42" s="230">
        <f>L31+L36+L40</f>
        <v>0</v>
      </c>
      <c r="M42" s="230">
        <f>M31+M36+M40</f>
        <v>0</v>
      </c>
      <c r="N42" s="231">
        <f>SUM(K42:M42)</f>
        <v>0</v>
      </c>
      <c r="O42" s="230">
        <f>O31+O36+O40</f>
        <v>0</v>
      </c>
      <c r="P42" s="230">
        <f>P31+P36+P40</f>
        <v>0</v>
      </c>
      <c r="Q42" s="230">
        <f>Q31+Q36+Q40</f>
        <v>0</v>
      </c>
      <c r="R42" s="231">
        <f>SUM(O42:Q42)</f>
        <v>0</v>
      </c>
      <c r="S42" s="233">
        <f t="shared" si="0"/>
        <v>7060965.9799999995</v>
      </c>
    </row>
    <row r="43" spans="1:19" s="199" customFormat="1" ht="12.75">
      <c r="A43" s="219"/>
      <c r="C43" s="220">
        <f>202061.68+218524</f>
        <v>420585.68</v>
      </c>
      <c r="D43" s="220">
        <f>473510.32+711296</f>
        <v>1184806.32</v>
      </c>
      <c r="E43" s="220">
        <f>605341.53+714657</f>
        <v>1319998.53</v>
      </c>
      <c r="F43" s="220">
        <f>1280913.53+1644477</f>
        <v>2925390.5300000003</v>
      </c>
      <c r="G43" s="220">
        <f>444638.27+743336</f>
        <v>1187974.27</v>
      </c>
      <c r="H43" s="220">
        <f>413827.09+1293155</f>
        <v>1706982.09</v>
      </c>
      <c r="I43" s="220">
        <f>471943.09+768676</f>
        <v>1240619.09</v>
      </c>
      <c r="J43" s="220">
        <f>G43+H43+I43</f>
        <v>4135575.45</v>
      </c>
      <c r="K43" s="199">
        <f>208920.94+19247+262462.34</f>
        <v>490630.28</v>
      </c>
      <c r="L43" s="199">
        <f>333238.54+456+231122.66</f>
        <v>564817.2</v>
      </c>
      <c r="M43" s="199">
        <f>153815+438730+8907</f>
        <v>601452</v>
      </c>
      <c r="N43" s="199">
        <f>K43+L43+M43</f>
        <v>1656899.48</v>
      </c>
      <c r="S43" s="220">
        <f>2159376.99+85830+4287725</f>
        <v>6532931.99</v>
      </c>
    </row>
    <row r="44" spans="1:19" s="199" customFormat="1" ht="12.75">
      <c r="A44" s="221"/>
      <c r="C44" s="220">
        <f>C43-C42</f>
        <v>0</v>
      </c>
      <c r="D44" s="220">
        <f>D43-D42</f>
        <v>0</v>
      </c>
      <c r="E44" s="220">
        <f>E43-E42</f>
        <v>0</v>
      </c>
      <c r="F44" s="220">
        <f>F43-F42</f>
        <v>0</v>
      </c>
      <c r="G44" s="220">
        <f>G42-G43</f>
        <v>0</v>
      </c>
      <c r="H44" s="220">
        <f>H42-H43</f>
        <v>0</v>
      </c>
      <c r="I44" s="220">
        <f>I42-I43</f>
        <v>0</v>
      </c>
      <c r="J44" s="220">
        <f>J42-J43</f>
        <v>0</v>
      </c>
      <c r="K44" s="199">
        <f>K43-K42</f>
        <v>490630.28</v>
      </c>
      <c r="L44" s="199">
        <f>L43-L42</f>
        <v>564817.2</v>
      </c>
      <c r="M44" s="199">
        <f>M43-M42</f>
        <v>601452</v>
      </c>
      <c r="S44" s="220">
        <f>S42-S43</f>
        <v>528033.9899999993</v>
      </c>
    </row>
    <row r="45" spans="1:19" s="199" customFormat="1" ht="12.75">
      <c r="A45" s="219" t="s">
        <v>175</v>
      </c>
      <c r="S45" s="220"/>
    </row>
    <row r="46" s="199" customFormat="1" ht="12.75">
      <c r="S46" s="220"/>
    </row>
    <row r="47" spans="1:19" s="199" customFormat="1" ht="12.75">
      <c r="A47" s="199" t="s">
        <v>176</v>
      </c>
      <c r="S47" s="220"/>
    </row>
    <row r="48" ht="12.75">
      <c r="A48" s="199"/>
    </row>
    <row r="49" ht="12.75">
      <c r="A49" s="199"/>
    </row>
  </sheetData>
  <sheetProtection/>
  <mergeCells count="4">
    <mergeCell ref="A1:S1"/>
    <mergeCell ref="B2:B3"/>
    <mergeCell ref="C2:R2"/>
    <mergeCell ref="A4:A5"/>
  </mergeCells>
  <printOptions/>
  <pageMargins left="0" right="0" top="0" bottom="0.34" header="0.31496062992125984" footer="0.4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U52"/>
  <sheetViews>
    <sheetView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18" sqref="F18"/>
    </sheetView>
  </sheetViews>
  <sheetFormatPr defaultColWidth="9.00390625" defaultRowHeight="15"/>
  <cols>
    <col min="1" max="1" width="29.140625" style="207" customWidth="1"/>
    <col min="2" max="2" width="5.140625" style="207" customWidth="1"/>
    <col min="3" max="3" width="10.7109375" style="207" customWidth="1"/>
    <col min="4" max="4" width="9.421875" style="207" customWidth="1"/>
    <col min="5" max="5" width="10.140625" style="207" customWidth="1"/>
    <col min="6" max="7" width="9.7109375" style="207" customWidth="1"/>
    <col min="8" max="8" width="9.421875" style="207" customWidth="1"/>
    <col min="9" max="10" width="9.8515625" style="207" customWidth="1"/>
    <col min="11" max="11" width="10.8515625" style="207" customWidth="1"/>
    <col min="12" max="13" width="11.00390625" style="207" customWidth="1"/>
    <col min="14" max="14" width="9.8515625" style="207" customWidth="1"/>
    <col min="15" max="15" width="10.28125" style="207" customWidth="1"/>
    <col min="16" max="16" width="9.8515625" style="207" customWidth="1"/>
    <col min="17" max="18" width="9.7109375" style="207" customWidth="1"/>
    <col min="19" max="19" width="13.28125" style="212" customWidth="1"/>
    <col min="20" max="20" width="12.7109375" style="207" customWidth="1"/>
    <col min="21" max="21" width="15.421875" style="207" customWidth="1"/>
    <col min="22" max="16384" width="9.00390625" style="207" customWidth="1"/>
  </cols>
  <sheetData>
    <row r="1" spans="1:19" s="199" customFormat="1" ht="12.75">
      <c r="A1" s="610" t="s">
        <v>468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610"/>
      <c r="S1" s="610"/>
    </row>
    <row r="2" spans="1:19" s="199" customFormat="1" ht="12.75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>
        <f>71195-3926</f>
        <v>67269</v>
      </c>
      <c r="Q2" s="313"/>
      <c r="R2" s="313"/>
      <c r="S2" s="313"/>
    </row>
    <row r="3" spans="1:19" s="199" customFormat="1" ht="12.75">
      <c r="A3" s="200"/>
      <c r="B3" s="611" t="s">
        <v>152</v>
      </c>
      <c r="C3" s="611" t="s">
        <v>153</v>
      </c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611"/>
      <c r="Q3" s="611"/>
      <c r="R3" s="612"/>
      <c r="S3" s="201"/>
    </row>
    <row r="4" spans="1:21" s="199" customFormat="1" ht="12.75">
      <c r="A4" s="200"/>
      <c r="B4" s="611"/>
      <c r="C4" s="200">
        <v>1</v>
      </c>
      <c r="D4" s="200">
        <v>2</v>
      </c>
      <c r="E4" s="200">
        <v>3</v>
      </c>
      <c r="F4" s="202" t="s">
        <v>154</v>
      </c>
      <c r="G4" s="200">
        <v>4</v>
      </c>
      <c r="H4" s="200">
        <v>5</v>
      </c>
      <c r="I4" s="200">
        <v>6</v>
      </c>
      <c r="J4" s="202" t="s">
        <v>155</v>
      </c>
      <c r="K4" s="200">
        <v>7</v>
      </c>
      <c r="L4" s="200">
        <v>8</v>
      </c>
      <c r="M4" s="200">
        <v>9</v>
      </c>
      <c r="N4" s="202" t="s">
        <v>156</v>
      </c>
      <c r="O4" s="200">
        <v>10</v>
      </c>
      <c r="P4" s="200">
        <v>11</v>
      </c>
      <c r="Q4" s="200">
        <v>12</v>
      </c>
      <c r="R4" s="202" t="s">
        <v>157</v>
      </c>
      <c r="S4" s="203"/>
      <c r="U4" s="236" t="s">
        <v>366</v>
      </c>
    </row>
    <row r="5" spans="1:21" ht="13.5" hidden="1">
      <c r="A5" s="613" t="s">
        <v>183</v>
      </c>
      <c r="B5" s="204">
        <v>211</v>
      </c>
      <c r="C5" s="205"/>
      <c r="D5" s="205">
        <v>0</v>
      </c>
      <c r="E5" s="205">
        <v>0</v>
      </c>
      <c r="F5" s="206">
        <f>SUM(C5:E5)</f>
        <v>0</v>
      </c>
      <c r="G5" s="205">
        <v>0</v>
      </c>
      <c r="H5" s="205">
        <v>0</v>
      </c>
      <c r="I5" s="205">
        <v>0</v>
      </c>
      <c r="J5" s="206">
        <f>SUM(G5:I5)</f>
        <v>0</v>
      </c>
      <c r="K5" s="310">
        <v>0</v>
      </c>
      <c r="L5" s="310">
        <v>0</v>
      </c>
      <c r="M5" s="310">
        <v>0</v>
      </c>
      <c r="N5" s="206">
        <f>SUM(K5:M5)</f>
        <v>0</v>
      </c>
      <c r="O5" s="205">
        <v>0</v>
      </c>
      <c r="P5" s="205">
        <v>0</v>
      </c>
      <c r="Q5" s="205">
        <v>0</v>
      </c>
      <c r="R5" s="206">
        <f>SUM(O5:Q5)</f>
        <v>0</v>
      </c>
      <c r="S5" s="232">
        <f aca="true" t="shared" si="0" ref="S5:S43">R5+N5+J5+F5</f>
        <v>0</v>
      </c>
      <c r="T5" s="212">
        <f>проверка!D7</f>
        <v>0</v>
      </c>
      <c r="U5" s="237">
        <f>S5-T5</f>
        <v>0</v>
      </c>
    </row>
    <row r="6" spans="1:21" ht="13.5" hidden="1">
      <c r="A6" s="614"/>
      <c r="B6" s="204">
        <v>213</v>
      </c>
      <c r="C6" s="205"/>
      <c r="D6" s="205">
        <v>0</v>
      </c>
      <c r="E6" s="205">
        <v>0</v>
      </c>
      <c r="F6" s="206">
        <f aca="true" t="shared" si="1" ref="F6:F43">SUM(C6:E6)</f>
        <v>0</v>
      </c>
      <c r="G6" s="205">
        <v>0</v>
      </c>
      <c r="H6" s="205">
        <v>0</v>
      </c>
      <c r="I6" s="205">
        <v>0</v>
      </c>
      <c r="J6" s="206">
        <f aca="true" t="shared" si="2" ref="J6:J35">SUM(G6:I6)</f>
        <v>0</v>
      </c>
      <c r="K6" s="310">
        <v>0</v>
      </c>
      <c r="L6" s="310">
        <v>0</v>
      </c>
      <c r="M6" s="310">
        <v>0</v>
      </c>
      <c r="N6" s="206">
        <f aca="true" t="shared" si="3" ref="N6:N35">SUM(K6:M6)</f>
        <v>0</v>
      </c>
      <c r="O6" s="205">
        <v>0</v>
      </c>
      <c r="P6" s="205">
        <v>0</v>
      </c>
      <c r="Q6" s="205">
        <v>0</v>
      </c>
      <c r="R6" s="206">
        <f aca="true" t="shared" si="4" ref="R6:R35">SUM(O6:Q6)</f>
        <v>0</v>
      </c>
      <c r="S6" s="232">
        <f t="shared" si="0"/>
        <v>0</v>
      </c>
      <c r="T6" s="212">
        <f>проверка!D8</f>
        <v>0</v>
      </c>
      <c r="U6" s="237">
        <f aca="true" t="shared" si="5" ref="U6:U43">S6-T6</f>
        <v>0</v>
      </c>
    </row>
    <row r="7" spans="1:21" ht="13.5">
      <c r="A7" s="208" t="s">
        <v>158</v>
      </c>
      <c r="B7" s="204">
        <v>211</v>
      </c>
      <c r="C7" s="397">
        <v>218524</v>
      </c>
      <c r="D7" s="397">
        <v>546311</v>
      </c>
      <c r="E7" s="397">
        <v>546311</v>
      </c>
      <c r="F7" s="404">
        <f t="shared" si="1"/>
        <v>1311146</v>
      </c>
      <c r="G7" s="222">
        <f>546311+275594+100000-47807</f>
        <v>874098</v>
      </c>
      <c r="H7" s="222">
        <f>H8+H9</f>
        <v>651628</v>
      </c>
      <c r="I7" s="222">
        <f>I8+I9</f>
        <v>932674</v>
      </c>
      <c r="J7" s="419">
        <f t="shared" si="2"/>
        <v>2458400</v>
      </c>
      <c r="K7" s="222">
        <v>230238</v>
      </c>
      <c r="L7" s="222">
        <v>176178</v>
      </c>
      <c r="M7" s="222">
        <v>434780</v>
      </c>
      <c r="N7" s="434">
        <f>K7+L7+M7</f>
        <v>841196</v>
      </c>
      <c r="O7" s="222">
        <f>601045+377838</f>
        <v>978883</v>
      </c>
      <c r="P7" s="222">
        <f>601045-378663-1</f>
        <v>222381</v>
      </c>
      <c r="Q7" s="222">
        <f>960191+826</f>
        <v>961017</v>
      </c>
      <c r="R7" s="359">
        <f>O7+P7+Q7</f>
        <v>2162281</v>
      </c>
      <c r="S7" s="232">
        <f t="shared" si="0"/>
        <v>6773023</v>
      </c>
      <c r="T7" s="212">
        <f>проверка!D9</f>
        <v>6773023</v>
      </c>
      <c r="U7" s="237">
        <f t="shared" si="5"/>
        <v>0</v>
      </c>
    </row>
    <row r="8" spans="1:21" s="210" customFormat="1" ht="76.5">
      <c r="A8" s="17" t="s">
        <v>179</v>
      </c>
      <c r="B8" s="209">
        <v>211</v>
      </c>
      <c r="C8" s="417">
        <f>C7-C9</f>
        <v>157065</v>
      </c>
      <c r="D8" s="417">
        <f>D7-D9</f>
        <v>392663</v>
      </c>
      <c r="E8" s="417">
        <f>E7-E9</f>
        <v>392663</v>
      </c>
      <c r="F8" s="416">
        <f t="shared" si="1"/>
        <v>942391</v>
      </c>
      <c r="G8" s="310">
        <f>392663+275594+110198-47807-2-13277</f>
        <v>717369</v>
      </c>
      <c r="H8" s="310">
        <f>469128-25711.4</f>
        <v>443416.6</v>
      </c>
      <c r="I8" s="310">
        <f>856899.14+9000+2+38988.4</f>
        <v>904889.54</v>
      </c>
      <c r="J8" s="419">
        <f t="shared" si="2"/>
        <v>2065675.1400000001</v>
      </c>
      <c r="K8" s="294">
        <v>204617</v>
      </c>
      <c r="L8" s="294">
        <f>L7-L9</f>
        <v>82824.66</v>
      </c>
      <c r="M8" s="294">
        <f>M7-M9</f>
        <v>278673</v>
      </c>
      <c r="N8" s="434">
        <f t="shared" si="3"/>
        <v>566114.66</v>
      </c>
      <c r="O8" s="294">
        <f>449977+377838-2580</f>
        <v>825235</v>
      </c>
      <c r="P8" s="294">
        <f>449977-378663-2580</f>
        <v>68734</v>
      </c>
      <c r="Q8" s="294">
        <f>629968+100000+826</f>
        <v>730794</v>
      </c>
      <c r="R8" s="206">
        <f t="shared" si="4"/>
        <v>1624763</v>
      </c>
      <c r="S8" s="232">
        <f t="shared" si="0"/>
        <v>5198943.800000001</v>
      </c>
      <c r="T8" s="211">
        <f>свод!F25</f>
        <v>5198943.8</v>
      </c>
      <c r="U8" s="237">
        <f t="shared" si="5"/>
        <v>0</v>
      </c>
    </row>
    <row r="9" spans="1:21" ht="89.25">
      <c r="A9" s="17" t="s">
        <v>178</v>
      </c>
      <c r="B9" s="208">
        <v>211</v>
      </c>
      <c r="C9" s="418">
        <v>61459</v>
      </c>
      <c r="D9" s="418">
        <v>153648</v>
      </c>
      <c r="E9" s="418">
        <v>153648</v>
      </c>
      <c r="F9" s="416">
        <f t="shared" si="1"/>
        <v>368755</v>
      </c>
      <c r="G9" s="308">
        <f>G7-G8</f>
        <v>156729</v>
      </c>
      <c r="H9" s="308">
        <f>182500+25711.4</f>
        <v>208211.4</v>
      </c>
      <c r="I9" s="310">
        <f>66772.86-38988.4</f>
        <v>27784.46</v>
      </c>
      <c r="J9" s="419">
        <f t="shared" si="2"/>
        <v>392724.86000000004</v>
      </c>
      <c r="K9" s="292">
        <f>K7-K8</f>
        <v>25621</v>
      </c>
      <c r="L9" s="292">
        <f>28193+65160.34</f>
        <v>93353.34</v>
      </c>
      <c r="M9" s="292">
        <f>40582+180685.34-65161.34+1</f>
        <v>156107</v>
      </c>
      <c r="N9" s="434">
        <f t="shared" si="3"/>
        <v>275081.33999999997</v>
      </c>
      <c r="O9" s="292">
        <f>O7-O8</f>
        <v>153648</v>
      </c>
      <c r="P9" s="292">
        <f>P7-P8</f>
        <v>153647</v>
      </c>
      <c r="Q9" s="292">
        <f>Q7-Q8</f>
        <v>230223</v>
      </c>
      <c r="R9" s="385">
        <f t="shared" si="4"/>
        <v>537518</v>
      </c>
      <c r="S9" s="232">
        <f t="shared" si="0"/>
        <v>1574079.2</v>
      </c>
      <c r="T9" s="207">
        <f>свод!F38</f>
        <v>1574079.1999999997</v>
      </c>
      <c r="U9" s="237">
        <f t="shared" si="5"/>
        <v>0</v>
      </c>
    </row>
    <row r="10" spans="1:21" ht="13.5">
      <c r="A10" s="208" t="s">
        <v>158</v>
      </c>
      <c r="B10" s="204">
        <v>213</v>
      </c>
      <c r="C10" s="397">
        <v>0</v>
      </c>
      <c r="D10" s="397">
        <v>164985</v>
      </c>
      <c r="E10" s="397">
        <v>164986</v>
      </c>
      <c r="F10" s="416">
        <f t="shared" si="1"/>
        <v>329971</v>
      </c>
      <c r="G10" s="397">
        <v>329970</v>
      </c>
      <c r="H10" s="397">
        <f>ROUND(H7*30.2%,0)-65944-50</f>
        <v>130798</v>
      </c>
      <c r="I10" s="397">
        <f>I11+I12</f>
        <v>281668</v>
      </c>
      <c r="J10" s="416">
        <f t="shared" si="2"/>
        <v>742436</v>
      </c>
      <c r="K10" s="222">
        <v>120274</v>
      </c>
      <c r="L10" s="222">
        <v>37212</v>
      </c>
      <c r="M10" s="222">
        <v>89992</v>
      </c>
      <c r="N10" s="359">
        <f>K10+L10+M10</f>
        <v>247478</v>
      </c>
      <c r="O10" s="222">
        <f>ROUND(O7*30.2%,0)</f>
        <v>295623</v>
      </c>
      <c r="P10" s="222">
        <f>ROUND(P7*30.2%,0)</f>
        <v>67159</v>
      </c>
      <c r="Q10" s="222">
        <f>ROUND(Q7*30.2%,0)+72559</f>
        <v>362786</v>
      </c>
      <c r="R10" s="222">
        <f>O10+P10+Q10</f>
        <v>725568</v>
      </c>
      <c r="S10" s="232">
        <f t="shared" si="0"/>
        <v>2045453</v>
      </c>
      <c r="T10" s="212">
        <f>проверка!D10</f>
        <v>2045453</v>
      </c>
      <c r="U10" s="237">
        <f t="shared" si="5"/>
        <v>0</v>
      </c>
    </row>
    <row r="11" spans="1:21" ht="76.5">
      <c r="A11" s="17" t="s">
        <v>179</v>
      </c>
      <c r="B11" s="208">
        <v>213</v>
      </c>
      <c r="C11" s="308"/>
      <c r="D11" s="308">
        <v>118584</v>
      </c>
      <c r="E11" s="308">
        <v>118584</v>
      </c>
      <c r="F11" s="416">
        <f t="shared" si="1"/>
        <v>237168</v>
      </c>
      <c r="G11" s="308">
        <f>G10-G12</f>
        <v>286649</v>
      </c>
      <c r="H11" s="308">
        <f>ROUND(H8*30.2%,0)-65944-50+7560+250-45</f>
        <v>75683</v>
      </c>
      <c r="I11" s="308">
        <f>257913+3589-2</f>
        <v>261500</v>
      </c>
      <c r="J11" s="419">
        <f t="shared" si="2"/>
        <v>623832</v>
      </c>
      <c r="K11" s="308">
        <v>112537</v>
      </c>
      <c r="L11" s="308">
        <f>L10-L12</f>
        <v>9019</v>
      </c>
      <c r="M11" s="308">
        <f>49408</f>
        <v>49408</v>
      </c>
      <c r="N11" s="359">
        <f t="shared" si="3"/>
        <v>170964</v>
      </c>
      <c r="O11" s="292">
        <f>ROUND(O8*30.2%,0)</f>
        <v>249221</v>
      </c>
      <c r="P11" s="292">
        <f>ROUND(P8*30.2%,0)</f>
        <v>20758</v>
      </c>
      <c r="Q11" s="292">
        <f>ROUND(Q8*30.2%,0)+34974+12462+2</f>
        <v>268138</v>
      </c>
      <c r="R11" s="206">
        <f t="shared" si="4"/>
        <v>538117</v>
      </c>
      <c r="S11" s="232">
        <f t="shared" si="0"/>
        <v>1570081</v>
      </c>
      <c r="T11" s="212">
        <f>свод!F26</f>
        <v>1570081</v>
      </c>
      <c r="U11" s="237">
        <f t="shared" si="5"/>
        <v>0</v>
      </c>
    </row>
    <row r="12" spans="1:21" s="214" customFormat="1" ht="89.25">
      <c r="A12" s="17" t="s">
        <v>178</v>
      </c>
      <c r="B12" s="213">
        <v>213</v>
      </c>
      <c r="C12" s="308">
        <f>C10-C11</f>
        <v>0</v>
      </c>
      <c r="D12" s="308">
        <f>D10-D11</f>
        <v>46401</v>
      </c>
      <c r="E12" s="418">
        <f>E10-E11</f>
        <v>46402</v>
      </c>
      <c r="F12" s="416">
        <f t="shared" si="1"/>
        <v>92803</v>
      </c>
      <c r="G12" s="308">
        <v>43321</v>
      </c>
      <c r="H12" s="308">
        <f>H10-H11</f>
        <v>55115</v>
      </c>
      <c r="I12" s="308">
        <v>20168</v>
      </c>
      <c r="J12" s="419">
        <f t="shared" si="2"/>
        <v>118604</v>
      </c>
      <c r="K12" s="308">
        <v>7737</v>
      </c>
      <c r="L12" s="308">
        <v>28193</v>
      </c>
      <c r="M12" s="308">
        <f>M10-M11</f>
        <v>40584</v>
      </c>
      <c r="N12" s="206">
        <f t="shared" si="3"/>
        <v>76514</v>
      </c>
      <c r="O12" s="292">
        <f>O10-O11</f>
        <v>46402</v>
      </c>
      <c r="P12" s="292">
        <f>P10-P11</f>
        <v>46401</v>
      </c>
      <c r="Q12" s="292">
        <f>Q10-Q11</f>
        <v>94648</v>
      </c>
      <c r="R12" s="206">
        <f t="shared" si="4"/>
        <v>187451</v>
      </c>
      <c r="S12" s="232">
        <f t="shared" si="0"/>
        <v>475372</v>
      </c>
      <c r="T12" s="210">
        <f>свод!F40</f>
        <v>475372</v>
      </c>
      <c r="U12" s="237">
        <f t="shared" si="5"/>
        <v>0</v>
      </c>
    </row>
    <row r="13" spans="1:21" s="214" customFormat="1" ht="13.5">
      <c r="A13" s="17" t="s">
        <v>170</v>
      </c>
      <c r="B13" s="208">
        <v>310</v>
      </c>
      <c r="C13" s="308"/>
      <c r="D13" s="308"/>
      <c r="E13" s="308"/>
      <c r="F13" s="416">
        <f t="shared" si="1"/>
        <v>0</v>
      </c>
      <c r="G13" s="308">
        <v>32039</v>
      </c>
      <c r="H13" s="308"/>
      <c r="I13" s="308"/>
      <c r="J13" s="419">
        <f t="shared" si="2"/>
        <v>32039</v>
      </c>
      <c r="K13" s="308"/>
      <c r="L13" s="308"/>
      <c r="M13" s="308"/>
      <c r="N13" s="206">
        <f t="shared" si="3"/>
        <v>0</v>
      </c>
      <c r="O13" s="200">
        <v>32038</v>
      </c>
      <c r="P13" s="200"/>
      <c r="Q13" s="200"/>
      <c r="R13" s="206">
        <f t="shared" si="4"/>
        <v>32038</v>
      </c>
      <c r="S13" s="232">
        <f t="shared" si="0"/>
        <v>64077</v>
      </c>
      <c r="T13" s="211">
        <f>проверка!D12</f>
        <v>64077</v>
      </c>
      <c r="U13" s="237">
        <f t="shared" si="5"/>
        <v>0</v>
      </c>
    </row>
    <row r="14" spans="1:21" s="214" customFormat="1" ht="25.5">
      <c r="A14" s="198" t="s">
        <v>457</v>
      </c>
      <c r="B14" s="208">
        <v>340</v>
      </c>
      <c r="C14" s="308"/>
      <c r="D14" s="308"/>
      <c r="E14" s="418">
        <v>3748</v>
      </c>
      <c r="F14" s="416">
        <f t="shared" si="1"/>
        <v>3748</v>
      </c>
      <c r="G14" s="308">
        <f>17570</f>
        <v>17570</v>
      </c>
      <c r="H14" s="308"/>
      <c r="I14" s="308">
        <v>3748</v>
      </c>
      <c r="J14" s="419">
        <f t="shared" si="2"/>
        <v>21318</v>
      </c>
      <c r="K14" s="308">
        <v>0</v>
      </c>
      <c r="L14" s="308"/>
      <c r="M14" s="308">
        <v>3747</v>
      </c>
      <c r="N14" s="206">
        <f t="shared" si="3"/>
        <v>3747</v>
      </c>
      <c r="O14" s="200">
        <v>17251</v>
      </c>
      <c r="P14" s="200"/>
      <c r="Q14" s="200"/>
      <c r="R14" s="206">
        <f t="shared" si="4"/>
        <v>17251</v>
      </c>
      <c r="S14" s="232">
        <f t="shared" si="0"/>
        <v>46064</v>
      </c>
      <c r="T14" s="211">
        <f>проверка!D13+проверка!C11</f>
        <v>46064</v>
      </c>
      <c r="U14" s="237">
        <f t="shared" si="5"/>
        <v>0</v>
      </c>
    </row>
    <row r="15" spans="1:21" s="214" customFormat="1" ht="13.5">
      <c r="A15" s="198" t="s">
        <v>356</v>
      </c>
      <c r="B15" s="208"/>
      <c r="C15" s="405">
        <f>C14+C13+C10+C7</f>
        <v>218524</v>
      </c>
      <c r="D15" s="405">
        <f>D14+D13+D10+D7</f>
        <v>711296</v>
      </c>
      <c r="E15" s="405">
        <f>E14+E13+E10+E7</f>
        <v>715045</v>
      </c>
      <c r="F15" s="446">
        <f t="shared" si="1"/>
        <v>1644865</v>
      </c>
      <c r="G15" s="279">
        <f>G14+G13+G10+G7</f>
        <v>1253677</v>
      </c>
      <c r="H15" s="279">
        <f>H14+H13+H10+H7</f>
        <v>782426</v>
      </c>
      <c r="I15" s="279">
        <f>I7+I10+I14</f>
        <v>1218090</v>
      </c>
      <c r="J15" s="231">
        <f t="shared" si="2"/>
        <v>3254193</v>
      </c>
      <c r="K15" s="200">
        <f>K14+K13+K10+K7</f>
        <v>350512</v>
      </c>
      <c r="L15" s="200">
        <f>L14+L13+L10+L7</f>
        <v>213390</v>
      </c>
      <c r="M15" s="200">
        <f>M14+M13+M10+M7</f>
        <v>528519</v>
      </c>
      <c r="N15" s="231">
        <f t="shared" si="3"/>
        <v>1092421</v>
      </c>
      <c r="O15" s="281">
        <f>O14+O13+O10+O7</f>
        <v>1323795</v>
      </c>
      <c r="P15" s="200">
        <f>P14+P13+P10+P7</f>
        <v>289540</v>
      </c>
      <c r="Q15" s="200">
        <f>Q14+Q13+Q10+Q7</f>
        <v>1323803</v>
      </c>
      <c r="R15" s="231">
        <f t="shared" si="4"/>
        <v>2937138</v>
      </c>
      <c r="S15" s="232">
        <f t="shared" si="0"/>
        <v>8928617</v>
      </c>
      <c r="T15" s="211">
        <f>проверка!D9+проверка!D10+проверка!D12+проверка!D13+проверка!C11</f>
        <v>8928617</v>
      </c>
      <c r="U15" s="237">
        <f t="shared" si="5"/>
        <v>0</v>
      </c>
    </row>
    <row r="16" spans="1:21" ht="13.5">
      <c r="A16" s="208" t="s">
        <v>159</v>
      </c>
      <c r="B16" s="204">
        <v>211</v>
      </c>
      <c r="C16" s="415">
        <f>C18</f>
        <v>60086</v>
      </c>
      <c r="D16" s="415">
        <f>D18</f>
        <v>174294</v>
      </c>
      <c r="E16" s="415">
        <v>167414</v>
      </c>
      <c r="F16" s="416">
        <f t="shared" si="1"/>
        <v>401794</v>
      </c>
      <c r="G16" s="415">
        <f>G18</f>
        <v>267862</v>
      </c>
      <c r="H16" s="415">
        <f>H18</f>
        <v>199922</v>
      </c>
      <c r="I16" s="415">
        <f>I18</f>
        <v>168389</v>
      </c>
      <c r="J16" s="416">
        <f t="shared" si="2"/>
        <v>636173</v>
      </c>
      <c r="K16" s="415">
        <f>K18</f>
        <v>171500</v>
      </c>
      <c r="L16" s="309">
        <v>117198</v>
      </c>
      <c r="M16" s="309">
        <v>79613</v>
      </c>
      <c r="N16" s="419">
        <f>K16+L16+M16</f>
        <v>368311</v>
      </c>
      <c r="O16" s="436">
        <v>167414</v>
      </c>
      <c r="P16" s="436">
        <v>167414</v>
      </c>
      <c r="Q16" s="436">
        <f>234379+33483</f>
        <v>267862</v>
      </c>
      <c r="R16" s="419">
        <f>O16+P16+Q16</f>
        <v>602690</v>
      </c>
      <c r="S16" s="232">
        <f t="shared" si="0"/>
        <v>2008968</v>
      </c>
      <c r="T16" s="212">
        <f>проверка!D14</f>
        <v>2008968</v>
      </c>
      <c r="U16" s="237">
        <f t="shared" si="5"/>
        <v>0</v>
      </c>
    </row>
    <row r="17" spans="1:21" s="210" customFormat="1" ht="76.5">
      <c r="A17" s="17" t="s">
        <v>179</v>
      </c>
      <c r="B17" s="209">
        <v>211</v>
      </c>
      <c r="C17" s="417"/>
      <c r="D17" s="417"/>
      <c r="E17" s="417"/>
      <c r="F17" s="416">
        <f t="shared" si="1"/>
        <v>0</v>
      </c>
      <c r="G17" s="417"/>
      <c r="H17" s="417"/>
      <c r="I17" s="417"/>
      <c r="J17" s="416">
        <f t="shared" si="2"/>
        <v>0</v>
      </c>
      <c r="K17" s="417"/>
      <c r="L17" s="310"/>
      <c r="M17" s="310"/>
      <c r="N17" s="419">
        <f t="shared" si="3"/>
        <v>0</v>
      </c>
      <c r="O17" s="437"/>
      <c r="P17" s="437"/>
      <c r="Q17" s="437"/>
      <c r="R17" s="419">
        <f t="shared" si="4"/>
        <v>0</v>
      </c>
      <c r="S17" s="232">
        <f t="shared" si="0"/>
        <v>0</v>
      </c>
      <c r="T17" s="211">
        <f>свод!F16</f>
        <v>0</v>
      </c>
      <c r="U17" s="237">
        <f t="shared" si="5"/>
        <v>0</v>
      </c>
    </row>
    <row r="18" spans="1:21" ht="89.25">
      <c r="A18" s="17" t="s">
        <v>178</v>
      </c>
      <c r="B18" s="208">
        <v>211</v>
      </c>
      <c r="C18" s="418">
        <v>60086</v>
      </c>
      <c r="D18" s="418">
        <v>174294</v>
      </c>
      <c r="E18" s="418">
        <f>E16-E17</f>
        <v>167414</v>
      </c>
      <c r="F18" s="416">
        <f t="shared" si="1"/>
        <v>401794</v>
      </c>
      <c r="G18" s="418">
        <v>267862</v>
      </c>
      <c r="H18" s="418">
        <v>199922</v>
      </c>
      <c r="I18" s="418">
        <v>168389</v>
      </c>
      <c r="J18" s="416">
        <f t="shared" si="2"/>
        <v>636173</v>
      </c>
      <c r="K18" s="418">
        <v>171500</v>
      </c>
      <c r="L18" s="308">
        <f>L16-L17</f>
        <v>117198</v>
      </c>
      <c r="M18" s="308">
        <f>M16-M17</f>
        <v>79613</v>
      </c>
      <c r="N18" s="419">
        <f t="shared" si="3"/>
        <v>368311</v>
      </c>
      <c r="O18" s="435">
        <f>O16-O17</f>
        <v>167414</v>
      </c>
      <c r="P18" s="435">
        <f>P16-P17</f>
        <v>167414</v>
      </c>
      <c r="Q18" s="435">
        <f>Q16-Q17</f>
        <v>267862</v>
      </c>
      <c r="R18" s="419">
        <f t="shared" si="4"/>
        <v>602690</v>
      </c>
      <c r="S18" s="232">
        <f t="shared" si="0"/>
        <v>2008968</v>
      </c>
      <c r="T18" s="212">
        <f>свод!F43</f>
        <v>2008968</v>
      </c>
      <c r="U18" s="237">
        <f t="shared" si="5"/>
        <v>0</v>
      </c>
    </row>
    <row r="19" spans="1:21" ht="13.5">
      <c r="A19" s="208" t="s">
        <v>159</v>
      </c>
      <c r="B19" s="204">
        <v>213</v>
      </c>
      <c r="C19" s="415">
        <v>50559</v>
      </c>
      <c r="D19" s="415">
        <f>D21</f>
        <v>50438</v>
      </c>
      <c r="E19" s="415">
        <f>E21</f>
        <v>50680</v>
      </c>
      <c r="F19" s="416">
        <f t="shared" si="1"/>
        <v>151677</v>
      </c>
      <c r="G19" s="415">
        <v>50559</v>
      </c>
      <c r="H19" s="415">
        <f>H21</f>
        <v>86688</v>
      </c>
      <c r="I19" s="415">
        <f>I21</f>
        <v>54877</v>
      </c>
      <c r="J19" s="416">
        <f t="shared" si="2"/>
        <v>192124</v>
      </c>
      <c r="K19" s="309">
        <f>K21</f>
        <v>52198</v>
      </c>
      <c r="L19" s="309">
        <v>39849</v>
      </c>
      <c r="M19" s="309">
        <v>19183</v>
      </c>
      <c r="N19" s="419">
        <f>K19+L19+M19</f>
        <v>111230</v>
      </c>
      <c r="O19" s="222">
        <v>50559</v>
      </c>
      <c r="P19" s="222">
        <v>50559</v>
      </c>
      <c r="Q19" s="222">
        <f>50559+50559</f>
        <v>101118</v>
      </c>
      <c r="R19" s="359">
        <f t="shared" si="4"/>
        <v>202236</v>
      </c>
      <c r="S19" s="232">
        <f t="shared" si="0"/>
        <v>657267</v>
      </c>
      <c r="T19" s="212">
        <f>проверка!D16</f>
        <v>657267</v>
      </c>
      <c r="U19" s="237">
        <f t="shared" si="5"/>
        <v>0</v>
      </c>
    </row>
    <row r="20" spans="1:21" ht="76.5">
      <c r="A20" s="17" t="s">
        <v>179</v>
      </c>
      <c r="B20" s="209">
        <v>213</v>
      </c>
      <c r="C20" s="310"/>
      <c r="D20" s="310"/>
      <c r="E20" s="310"/>
      <c r="F20" s="419">
        <f t="shared" si="1"/>
        <v>0</v>
      </c>
      <c r="G20" s="417"/>
      <c r="H20" s="417"/>
      <c r="I20" s="417"/>
      <c r="J20" s="416">
        <f t="shared" si="2"/>
        <v>0</v>
      </c>
      <c r="K20" s="310"/>
      <c r="L20" s="310"/>
      <c r="M20" s="310"/>
      <c r="N20" s="419">
        <f t="shared" si="3"/>
        <v>0</v>
      </c>
      <c r="O20" s="294"/>
      <c r="P20" s="294"/>
      <c r="Q20" s="294"/>
      <c r="R20" s="206">
        <f t="shared" si="4"/>
        <v>0</v>
      </c>
      <c r="S20" s="232">
        <f t="shared" si="0"/>
        <v>0</v>
      </c>
      <c r="T20" s="212">
        <f>свод!F17</f>
        <v>0</v>
      </c>
      <c r="U20" s="237">
        <f t="shared" si="5"/>
        <v>0</v>
      </c>
    </row>
    <row r="21" spans="1:21" s="210" customFormat="1" ht="89.25">
      <c r="A21" s="17" t="s">
        <v>178</v>
      </c>
      <c r="B21" s="208">
        <v>213</v>
      </c>
      <c r="C21" s="418">
        <f>C19-C20</f>
        <v>50559</v>
      </c>
      <c r="D21" s="418">
        <v>50438</v>
      </c>
      <c r="E21" s="418">
        <v>50680</v>
      </c>
      <c r="F21" s="416">
        <f t="shared" si="1"/>
        <v>151677</v>
      </c>
      <c r="G21" s="418">
        <f>G19-G20</f>
        <v>50559</v>
      </c>
      <c r="H21" s="418">
        <v>86688</v>
      </c>
      <c r="I21" s="418">
        <v>54877</v>
      </c>
      <c r="J21" s="416">
        <f t="shared" si="2"/>
        <v>192124</v>
      </c>
      <c r="K21" s="308">
        <v>52198</v>
      </c>
      <c r="L21" s="308">
        <f>L19-L20</f>
        <v>39849</v>
      </c>
      <c r="M21" s="308">
        <f>M19-M20</f>
        <v>19183</v>
      </c>
      <c r="N21" s="419">
        <f>K21+L21+M21</f>
        <v>111230</v>
      </c>
      <c r="O21" s="292">
        <f>O19-O20</f>
        <v>50559</v>
      </c>
      <c r="P21" s="292">
        <f>P19-P20</f>
        <v>50559</v>
      </c>
      <c r="Q21" s="292">
        <f>Q19-Q20</f>
        <v>101118</v>
      </c>
      <c r="R21" s="206">
        <f t="shared" si="4"/>
        <v>202236</v>
      </c>
      <c r="S21" s="232">
        <f t="shared" si="0"/>
        <v>657267</v>
      </c>
      <c r="T21" s="211">
        <f>свод!F45</f>
        <v>657267</v>
      </c>
      <c r="U21" s="237">
        <f t="shared" si="5"/>
        <v>0</v>
      </c>
    </row>
    <row r="22" spans="1:21" ht="25.5">
      <c r="A22" s="17" t="s">
        <v>160</v>
      </c>
      <c r="B22" s="208">
        <v>212</v>
      </c>
      <c r="C22" s="418">
        <v>0</v>
      </c>
      <c r="D22" s="418">
        <v>0</v>
      </c>
      <c r="E22" s="418">
        <v>400</v>
      </c>
      <c r="F22" s="416">
        <f t="shared" si="1"/>
        <v>400</v>
      </c>
      <c r="G22" s="420">
        <v>150</v>
      </c>
      <c r="H22" s="420">
        <v>150</v>
      </c>
      <c r="I22" s="420">
        <v>300</v>
      </c>
      <c r="J22" s="421">
        <f t="shared" si="2"/>
        <v>600</v>
      </c>
      <c r="K22" s="418">
        <v>150</v>
      </c>
      <c r="L22" s="418">
        <v>150</v>
      </c>
      <c r="M22" s="415">
        <v>300</v>
      </c>
      <c r="N22" s="416">
        <f aca="true" t="shared" si="6" ref="N22:N27">K22+L22+M22</f>
        <v>600</v>
      </c>
      <c r="O22" s="435">
        <v>200</v>
      </c>
      <c r="P22" s="435">
        <v>300</v>
      </c>
      <c r="Q22" s="436">
        <v>300</v>
      </c>
      <c r="R22" s="419">
        <f>O22+P22+Q22</f>
        <v>800</v>
      </c>
      <c r="S22" s="232">
        <f t="shared" si="0"/>
        <v>2400</v>
      </c>
      <c r="T22" s="212">
        <f>свод!F46</f>
        <v>2400</v>
      </c>
      <c r="U22" s="237">
        <f t="shared" si="5"/>
        <v>0</v>
      </c>
    </row>
    <row r="23" spans="1:21" ht="13.5">
      <c r="A23" s="17" t="s">
        <v>161</v>
      </c>
      <c r="B23" s="208">
        <v>221</v>
      </c>
      <c r="C23" s="418">
        <v>850</v>
      </c>
      <c r="D23" s="418">
        <v>850</v>
      </c>
      <c r="E23" s="418">
        <v>1538</v>
      </c>
      <c r="F23" s="416">
        <f t="shared" si="1"/>
        <v>3238</v>
      </c>
      <c r="G23" s="418">
        <v>1200</v>
      </c>
      <c r="H23" s="418">
        <v>1000</v>
      </c>
      <c r="I23" s="418">
        <v>1038</v>
      </c>
      <c r="J23" s="416">
        <f t="shared" si="2"/>
        <v>3238</v>
      </c>
      <c r="K23" s="418">
        <v>1000</v>
      </c>
      <c r="L23" s="418">
        <v>1000</v>
      </c>
      <c r="M23" s="418">
        <v>1238</v>
      </c>
      <c r="N23" s="416">
        <f t="shared" si="6"/>
        <v>3238</v>
      </c>
      <c r="O23" s="308">
        <v>1000</v>
      </c>
      <c r="P23" s="308">
        <v>1100</v>
      </c>
      <c r="Q23" s="308">
        <v>1137</v>
      </c>
      <c r="R23" s="419">
        <f>O23+P23+Q23</f>
        <v>3237</v>
      </c>
      <c r="S23" s="232">
        <f t="shared" si="0"/>
        <v>12951</v>
      </c>
      <c r="T23" s="212">
        <f>проверка!D17</f>
        <v>12951</v>
      </c>
      <c r="U23" s="237">
        <f t="shared" si="5"/>
        <v>0</v>
      </c>
    </row>
    <row r="24" spans="1:21" ht="13.5">
      <c r="A24" s="17" t="s">
        <v>162</v>
      </c>
      <c r="B24" s="208">
        <v>223</v>
      </c>
      <c r="C24" s="415">
        <v>117000</v>
      </c>
      <c r="D24" s="415">
        <v>210000</v>
      </c>
      <c r="E24" s="415">
        <v>134060.79</v>
      </c>
      <c r="F24" s="416">
        <f t="shared" si="1"/>
        <v>461060.79000000004</v>
      </c>
      <c r="G24" s="415">
        <v>120000</v>
      </c>
      <c r="H24" s="415">
        <v>101082.99</v>
      </c>
      <c r="I24" s="415">
        <v>39025.05</v>
      </c>
      <c r="J24" s="419">
        <f t="shared" si="2"/>
        <v>260108.03999999998</v>
      </c>
      <c r="K24" s="415">
        <v>50800</v>
      </c>
      <c r="L24" s="415">
        <f>85931-50800</f>
        <v>35131</v>
      </c>
      <c r="M24" s="415">
        <v>0</v>
      </c>
      <c r="N24" s="416">
        <f t="shared" si="6"/>
        <v>85931</v>
      </c>
      <c r="O24" s="309">
        <v>125000</v>
      </c>
      <c r="P24" s="309">
        <v>136000</v>
      </c>
      <c r="Q24" s="309">
        <f>403748.27-125000-136000+87814.73+40681.21-88955.04</f>
        <v>182289.17000000004</v>
      </c>
      <c r="R24" s="419">
        <f>O24+P24+Q24</f>
        <v>443289.17000000004</v>
      </c>
      <c r="S24" s="232">
        <f t="shared" si="0"/>
        <v>1250389</v>
      </c>
      <c r="T24" s="212">
        <f>проверка!D19</f>
        <v>1250389</v>
      </c>
      <c r="U24" s="237">
        <f t="shared" si="5"/>
        <v>0</v>
      </c>
    </row>
    <row r="25" spans="1:21" ht="26.25">
      <c r="A25" s="197" t="s">
        <v>361</v>
      </c>
      <c r="B25" s="208">
        <v>225</v>
      </c>
      <c r="C25" s="415">
        <v>10400</v>
      </c>
      <c r="D25" s="415">
        <v>10400</v>
      </c>
      <c r="E25" s="415">
        <v>10975</v>
      </c>
      <c r="F25" s="416">
        <f t="shared" si="1"/>
        <v>31775</v>
      </c>
      <c r="G25" s="415">
        <v>136709</v>
      </c>
      <c r="H25" s="415">
        <v>15200</v>
      </c>
      <c r="I25" s="415">
        <v>3277</v>
      </c>
      <c r="J25" s="416">
        <f t="shared" si="2"/>
        <v>155186</v>
      </c>
      <c r="K25" s="415">
        <v>138766</v>
      </c>
      <c r="L25" s="415">
        <v>0</v>
      </c>
      <c r="M25" s="415">
        <v>0</v>
      </c>
      <c r="N25" s="416">
        <f t="shared" si="6"/>
        <v>138766</v>
      </c>
      <c r="O25" s="309">
        <v>12000</v>
      </c>
      <c r="P25" s="309">
        <v>12000</v>
      </c>
      <c r="Q25" s="309">
        <v>12918</v>
      </c>
      <c r="R25" s="419">
        <f>Q25+P25+O25</f>
        <v>36918</v>
      </c>
      <c r="S25" s="232">
        <f t="shared" si="0"/>
        <v>362645</v>
      </c>
      <c r="T25" s="212">
        <f>проверка!D21</f>
        <v>362645</v>
      </c>
      <c r="U25" s="237">
        <f t="shared" si="5"/>
        <v>0</v>
      </c>
    </row>
    <row r="26" spans="1:21" ht="13.5">
      <c r="A26" s="17" t="s">
        <v>358</v>
      </c>
      <c r="B26" s="208">
        <v>226</v>
      </c>
      <c r="C26" s="415">
        <v>3990</v>
      </c>
      <c r="D26" s="415">
        <v>3035</v>
      </c>
      <c r="E26" s="415">
        <v>0</v>
      </c>
      <c r="F26" s="416">
        <f t="shared" si="1"/>
        <v>7025</v>
      </c>
      <c r="G26" s="415">
        <v>1001.1</v>
      </c>
      <c r="H26" s="415">
        <v>1000.1</v>
      </c>
      <c r="I26" s="415">
        <v>5350.8</v>
      </c>
      <c r="J26" s="416">
        <f t="shared" si="2"/>
        <v>7352</v>
      </c>
      <c r="K26" s="415">
        <v>4000</v>
      </c>
      <c r="L26" s="415">
        <v>4000</v>
      </c>
      <c r="M26" s="415">
        <f>66463-8000</f>
        <v>58463</v>
      </c>
      <c r="N26" s="416">
        <f t="shared" si="6"/>
        <v>66463</v>
      </c>
      <c r="O26" s="436">
        <f>1001+919+67269</f>
        <v>69189</v>
      </c>
      <c r="P26" s="436">
        <v>1001</v>
      </c>
      <c r="Q26" s="436">
        <f>3007-1001-1001</f>
        <v>1005</v>
      </c>
      <c r="R26" s="419">
        <f>O26+P26+Q26</f>
        <v>71195</v>
      </c>
      <c r="S26" s="232">
        <f t="shared" si="0"/>
        <v>152035</v>
      </c>
      <c r="T26" s="212">
        <f>проверка!D22</f>
        <v>152035</v>
      </c>
      <c r="U26" s="237">
        <f t="shared" si="5"/>
        <v>0</v>
      </c>
    </row>
    <row r="27" spans="1:21" ht="13.5">
      <c r="A27" s="17" t="s">
        <v>260</v>
      </c>
      <c r="B27" s="208">
        <v>290</v>
      </c>
      <c r="C27" s="415">
        <v>0</v>
      </c>
      <c r="D27" s="415"/>
      <c r="E27" s="415"/>
      <c r="F27" s="416">
        <f t="shared" si="1"/>
        <v>0</v>
      </c>
      <c r="G27" s="309"/>
      <c r="H27" s="309"/>
      <c r="I27" s="309"/>
      <c r="J27" s="419">
        <f t="shared" si="2"/>
        <v>0</v>
      </c>
      <c r="K27" s="415">
        <v>0</v>
      </c>
      <c r="L27" s="415">
        <v>2600</v>
      </c>
      <c r="M27" s="415"/>
      <c r="N27" s="416">
        <f t="shared" si="6"/>
        <v>2600</v>
      </c>
      <c r="O27" s="309">
        <v>0</v>
      </c>
      <c r="P27" s="309"/>
      <c r="Q27" s="309">
        <v>0</v>
      </c>
      <c r="R27" s="419">
        <v>0</v>
      </c>
      <c r="S27" s="232">
        <f t="shared" si="0"/>
        <v>2600</v>
      </c>
      <c r="T27" s="387">
        <f>свод!F104</f>
        <v>2600</v>
      </c>
      <c r="U27" s="237">
        <f t="shared" si="5"/>
        <v>0</v>
      </c>
    </row>
    <row r="28" spans="1:21" ht="13.5">
      <c r="A28" s="17" t="s">
        <v>360</v>
      </c>
      <c r="B28" s="208">
        <v>290</v>
      </c>
      <c r="C28" s="415">
        <v>207105</v>
      </c>
      <c r="D28" s="415">
        <v>0</v>
      </c>
      <c r="E28" s="415">
        <v>31876</v>
      </c>
      <c r="F28" s="416">
        <f t="shared" si="1"/>
        <v>238981</v>
      </c>
      <c r="G28" s="415">
        <v>120472</v>
      </c>
      <c r="H28" s="415">
        <v>0</v>
      </c>
      <c r="I28" s="415">
        <v>0</v>
      </c>
      <c r="J28" s="416">
        <f t="shared" si="2"/>
        <v>120472</v>
      </c>
      <c r="K28" s="415">
        <v>34243</v>
      </c>
      <c r="L28" s="415">
        <f>123922-2600-34243</f>
        <v>87079</v>
      </c>
      <c r="M28" s="415">
        <v>0</v>
      </c>
      <c r="N28" s="416">
        <f>M28+L28+K28</f>
        <v>121322</v>
      </c>
      <c r="O28" s="309">
        <v>34243</v>
      </c>
      <c r="P28" s="309">
        <f>121153-34243</f>
        <v>86910</v>
      </c>
      <c r="Q28" s="309">
        <v>0</v>
      </c>
      <c r="R28" s="419">
        <f>O28+P28+Q28</f>
        <v>121153</v>
      </c>
      <c r="S28" s="232">
        <f t="shared" si="0"/>
        <v>601928</v>
      </c>
      <c r="T28" s="212">
        <f>свод!F144</f>
        <v>601928</v>
      </c>
      <c r="U28" s="237">
        <f t="shared" si="5"/>
        <v>0</v>
      </c>
    </row>
    <row r="29" spans="1:21" ht="13.5">
      <c r="A29" s="17" t="s">
        <v>170</v>
      </c>
      <c r="B29" s="208">
        <v>310</v>
      </c>
      <c r="C29" s="308"/>
      <c r="D29" s="308"/>
      <c r="E29" s="308"/>
      <c r="F29" s="419">
        <f t="shared" si="1"/>
        <v>0</v>
      </c>
      <c r="G29" s="308"/>
      <c r="H29" s="308"/>
      <c r="I29" s="308"/>
      <c r="J29" s="419">
        <f t="shared" si="2"/>
        <v>0</v>
      </c>
      <c r="K29" s="308"/>
      <c r="L29" s="308"/>
      <c r="M29" s="309">
        <f>N29-K29-L29</f>
        <v>0</v>
      </c>
      <c r="N29" s="419"/>
      <c r="O29" s="308"/>
      <c r="P29" s="308"/>
      <c r="Q29" s="309">
        <f>R29-O29-P29</f>
        <v>0</v>
      </c>
      <c r="R29" s="419"/>
      <c r="S29" s="232">
        <f t="shared" si="0"/>
        <v>0</v>
      </c>
      <c r="U29" s="237">
        <f t="shared" si="5"/>
        <v>0</v>
      </c>
    </row>
    <row r="30" spans="1:21" ht="25.5">
      <c r="A30" s="198" t="s">
        <v>171</v>
      </c>
      <c r="B30" s="208">
        <v>340</v>
      </c>
      <c r="C30" s="308">
        <v>0</v>
      </c>
      <c r="D30" s="308">
        <v>0</v>
      </c>
      <c r="E30" s="308">
        <v>0</v>
      </c>
      <c r="F30" s="419">
        <f t="shared" si="1"/>
        <v>0</v>
      </c>
      <c r="G30" s="308">
        <v>0</v>
      </c>
      <c r="H30" s="308"/>
      <c r="I30" s="308"/>
      <c r="J30" s="419">
        <f t="shared" si="2"/>
        <v>0</v>
      </c>
      <c r="K30" s="308"/>
      <c r="L30" s="308"/>
      <c r="M30" s="309">
        <f>N30-K30-L30</f>
        <v>0</v>
      </c>
      <c r="N30" s="419"/>
      <c r="O30" s="308"/>
      <c r="P30" s="308"/>
      <c r="Q30" s="309">
        <f>R30-O30-P30</f>
        <v>0</v>
      </c>
      <c r="R30" s="419"/>
      <c r="S30" s="232">
        <f t="shared" si="0"/>
        <v>0</v>
      </c>
      <c r="U30" s="237">
        <f t="shared" si="5"/>
        <v>0</v>
      </c>
    </row>
    <row r="31" spans="1:21" ht="13.5">
      <c r="A31" s="198" t="s">
        <v>357</v>
      </c>
      <c r="B31" s="208"/>
      <c r="C31" s="293">
        <f>C30+C29+C28+C27+C26+C25+C24+C23+C22+C19+C16</f>
        <v>449990</v>
      </c>
      <c r="D31" s="293">
        <f>D30+D29+D28+D27+D26+D25+D24+D23+D22+D19+D16</f>
        <v>449017</v>
      </c>
      <c r="E31" s="293">
        <f>E30+E29+E28+E27+E26+E25+E24+E23+E22+E19+E16</f>
        <v>396943.79000000004</v>
      </c>
      <c r="F31" s="293">
        <f t="shared" si="1"/>
        <v>1295950.79</v>
      </c>
      <c r="G31" s="293">
        <f>G30+G29+G28+G27+G26+G25+G24+G23+G22+G19+G16</f>
        <v>697953.1</v>
      </c>
      <c r="H31" s="293">
        <f>H30+H29+H28+H27+H26+H25+H24+H23+H22+H19+H16</f>
        <v>405043.09</v>
      </c>
      <c r="I31" s="293">
        <f>I30+I29+I28+I27+I26+I25+I24+I23+I22+I19+I16</f>
        <v>272256.85</v>
      </c>
      <c r="J31" s="206">
        <f t="shared" si="2"/>
        <v>1375253.04</v>
      </c>
      <c r="K31" s="309">
        <f>K30+K29+K28+K27+K26+K25+K24+K23+K22+K19+K16</f>
        <v>452657</v>
      </c>
      <c r="L31" s="208">
        <f>L30+L29+L28+L27+L26+L25+L24+L23+L22+L19+L16</f>
        <v>287007</v>
      </c>
      <c r="M31" s="208">
        <f>M30+M29+M28+M27+M26+M25+M24+M23+M22+M19+M16</f>
        <v>158797</v>
      </c>
      <c r="N31" s="280">
        <f t="shared" si="3"/>
        <v>898461</v>
      </c>
      <c r="O31" s="208">
        <f>O30+O29+O28+O27+O26+O25+O24+O23+O22+O19+O16</f>
        <v>459605</v>
      </c>
      <c r="P31" s="208">
        <f>P30+P29+P28+P27+P26+P25+P24+P23+P22+P19+P16</f>
        <v>455284</v>
      </c>
      <c r="Q31" s="208">
        <f>Q30+Q29+Q28+Q27+Q26+Q25+Q24+Q23+Q22+Q19+Q16</f>
        <v>566629.17</v>
      </c>
      <c r="R31" s="206">
        <f t="shared" si="4"/>
        <v>1481518.17</v>
      </c>
      <c r="S31" s="232">
        <f t="shared" si="0"/>
        <v>5051183</v>
      </c>
      <c r="T31" s="212">
        <f>проверка!D14+проверка!D15+проверка!D16+проверка!D17+проверка!D18+проверка!D19+проверка!D20+проверка!D21+проверка!D22+проверка!D23+проверка!D24</f>
        <v>5051183</v>
      </c>
      <c r="U31" s="237">
        <f t="shared" si="5"/>
        <v>0</v>
      </c>
    </row>
    <row r="32" spans="1:21" ht="13.5">
      <c r="A32" s="223" t="s">
        <v>362</v>
      </c>
      <c r="B32" s="224"/>
      <c r="C32" s="224">
        <f>C8+C11+C17+C20+C13+C14+C5+C6</f>
        <v>157065</v>
      </c>
      <c r="D32" s="224">
        <f>D8+D11+D17+D20+D13+D14+D5+D6</f>
        <v>511247</v>
      </c>
      <c r="E32" s="224">
        <f>E8+E11+E17+E20+E13+E14+E5+E6</f>
        <v>514995</v>
      </c>
      <c r="F32" s="231">
        <f t="shared" si="1"/>
        <v>1183307</v>
      </c>
      <c r="G32" s="224">
        <f>G8+G11+G17+G20+G13+G14+G5+G6</f>
        <v>1053627</v>
      </c>
      <c r="H32" s="224">
        <f>H8+H11+H17+H20+H13+H14+H5+H6</f>
        <v>519099.6</v>
      </c>
      <c r="I32" s="224">
        <f>I8+I11+I17+I20+I13+I14+I5+I6</f>
        <v>1170137.54</v>
      </c>
      <c r="J32" s="231">
        <f t="shared" si="2"/>
        <v>2742864.14</v>
      </c>
      <c r="K32" s="224">
        <f>K8+K11+K17+K20+K13+K14+K5+K6</f>
        <v>317154</v>
      </c>
      <c r="L32" s="224">
        <f>L8+L11+L17+L20+L13+L14+L5+L6</f>
        <v>91843.66</v>
      </c>
      <c r="M32" s="224">
        <f>M8+M11+M17+M20+M13+M14+M5+M6</f>
        <v>331828</v>
      </c>
      <c r="N32" s="231">
        <f t="shared" si="3"/>
        <v>740825.66</v>
      </c>
      <c r="O32" s="224">
        <f>O8+O11+O17+O20+O13+O14+O5+O6</f>
        <v>1123745</v>
      </c>
      <c r="P32" s="224">
        <f>P8+P11+P17+P20+P13+P14+P5+P6</f>
        <v>89492</v>
      </c>
      <c r="Q32" s="224">
        <f>Q8+Q11+Q17+Q20+Q13+Q14+Q5+Q6</f>
        <v>998932</v>
      </c>
      <c r="R32" s="231">
        <f t="shared" si="4"/>
        <v>2212169</v>
      </c>
      <c r="S32" s="233">
        <f t="shared" si="0"/>
        <v>6879165.800000001</v>
      </c>
      <c r="T32" s="212">
        <f>свод!F14</f>
        <v>6879165.8</v>
      </c>
      <c r="U32" s="237">
        <f t="shared" si="5"/>
        <v>0</v>
      </c>
    </row>
    <row r="33" spans="1:21" ht="13.5">
      <c r="A33" s="207" t="s">
        <v>172</v>
      </c>
      <c r="B33" s="216"/>
      <c r="C33" s="216">
        <f>C8+C11+C13+C14</f>
        <v>157065</v>
      </c>
      <c r="D33" s="216">
        <f>D8+D11+D13+D14</f>
        <v>511247</v>
      </c>
      <c r="E33" s="216">
        <f>E8+E11+E13+E14</f>
        <v>514995</v>
      </c>
      <c r="F33" s="206">
        <f t="shared" si="1"/>
        <v>1183307</v>
      </c>
      <c r="G33" s="393">
        <f>G8+G11+G13+G14</f>
        <v>1053627</v>
      </c>
      <c r="H33" s="216">
        <f>H8+H11+H13+H14</f>
        <v>519099.6</v>
      </c>
      <c r="I33" s="216">
        <f>I8+I11+I13+I14</f>
        <v>1170137.54</v>
      </c>
      <c r="J33" s="206">
        <f t="shared" si="2"/>
        <v>2742864.14</v>
      </c>
      <c r="K33" s="216">
        <f>K8+K11+K13+K14</f>
        <v>317154</v>
      </c>
      <c r="L33" s="393">
        <f>L8+L11+L13+L14</f>
        <v>91843.66</v>
      </c>
      <c r="M33" s="393">
        <f>M8+M11+M13+M14</f>
        <v>331828</v>
      </c>
      <c r="N33" s="206">
        <f t="shared" si="3"/>
        <v>740825.66</v>
      </c>
      <c r="O33" s="216">
        <f>O8+O11+O13+O14</f>
        <v>1123745</v>
      </c>
      <c r="P33" s="216">
        <f>P8+P11+P13+P14</f>
        <v>89492</v>
      </c>
      <c r="Q33" s="216">
        <f>Q8+Q11+Q13+Q14</f>
        <v>998932</v>
      </c>
      <c r="R33" s="206">
        <f t="shared" si="4"/>
        <v>2212169</v>
      </c>
      <c r="S33" s="232">
        <f t="shared" si="0"/>
        <v>6879165.800000001</v>
      </c>
      <c r="T33" s="212">
        <f>свод!F29</f>
        <v>6879165.8</v>
      </c>
      <c r="U33" s="237">
        <f t="shared" si="5"/>
        <v>0</v>
      </c>
    </row>
    <row r="34" spans="1:21" ht="13.5">
      <c r="A34" s="207" t="s">
        <v>363</v>
      </c>
      <c r="C34" s="207">
        <f>C5+C6</f>
        <v>0</v>
      </c>
      <c r="D34" s="207">
        <f>D5+D6</f>
        <v>0</v>
      </c>
      <c r="E34" s="207">
        <f>E5+E6</f>
        <v>0</v>
      </c>
      <c r="F34" s="206">
        <f t="shared" si="1"/>
        <v>0</v>
      </c>
      <c r="G34" s="207">
        <f>G5+G6</f>
        <v>0</v>
      </c>
      <c r="H34" s="207">
        <f>H5+H6</f>
        <v>0</v>
      </c>
      <c r="I34" s="207">
        <f>I5+I6</f>
        <v>0</v>
      </c>
      <c r="J34" s="206">
        <f t="shared" si="2"/>
        <v>0</v>
      </c>
      <c r="K34" s="207">
        <f>K5+K6</f>
        <v>0</v>
      </c>
      <c r="L34" s="207">
        <f>L5+L6</f>
        <v>0</v>
      </c>
      <c r="M34" s="207">
        <f>M5+M6</f>
        <v>0</v>
      </c>
      <c r="N34" s="206">
        <f t="shared" si="3"/>
        <v>0</v>
      </c>
      <c r="O34" s="207">
        <f>O5+O6</f>
        <v>0</v>
      </c>
      <c r="P34" s="207">
        <f>P5+P6</f>
        <v>0</v>
      </c>
      <c r="Q34" s="207">
        <f>Q5+Q6</f>
        <v>0</v>
      </c>
      <c r="R34" s="206">
        <f t="shared" si="4"/>
        <v>0</v>
      </c>
      <c r="S34" s="232">
        <f t="shared" si="0"/>
        <v>0</v>
      </c>
      <c r="T34" s="212">
        <f>свод!F23</f>
        <v>0</v>
      </c>
      <c r="U34" s="237">
        <f t="shared" si="5"/>
        <v>0</v>
      </c>
    </row>
    <row r="35" spans="1:21" s="217" customFormat="1" ht="13.5">
      <c r="A35" s="207" t="s">
        <v>173</v>
      </c>
      <c r="B35" s="215"/>
      <c r="C35" s="216">
        <f>C17+C20</f>
        <v>0</v>
      </c>
      <c r="D35" s="216">
        <f>D17+D20</f>
        <v>0</v>
      </c>
      <c r="E35" s="216">
        <f>E17+E20</f>
        <v>0</v>
      </c>
      <c r="F35" s="206">
        <f t="shared" si="1"/>
        <v>0</v>
      </c>
      <c r="G35" s="216">
        <f>G17+G20</f>
        <v>0</v>
      </c>
      <c r="H35" s="216">
        <f>H17+H20</f>
        <v>0</v>
      </c>
      <c r="I35" s="216">
        <f>I17+I20</f>
        <v>0</v>
      </c>
      <c r="J35" s="206">
        <f t="shared" si="2"/>
        <v>0</v>
      </c>
      <c r="K35" s="216">
        <f>K17+K20</f>
        <v>0</v>
      </c>
      <c r="L35" s="216">
        <f>L17+L20</f>
        <v>0</v>
      </c>
      <c r="M35" s="216">
        <f>M17+M20</f>
        <v>0</v>
      </c>
      <c r="N35" s="206">
        <f t="shared" si="3"/>
        <v>0</v>
      </c>
      <c r="O35" s="216">
        <f>O17+O20</f>
        <v>0</v>
      </c>
      <c r="P35" s="216">
        <f>P17+P20</f>
        <v>0</v>
      </c>
      <c r="Q35" s="216">
        <f>Q17+Q20</f>
        <v>0</v>
      </c>
      <c r="R35" s="206">
        <f t="shared" si="4"/>
        <v>0</v>
      </c>
      <c r="S35" s="232">
        <f t="shared" si="0"/>
        <v>0</v>
      </c>
      <c r="T35" s="218">
        <f>свод!F19</f>
        <v>0</v>
      </c>
      <c r="U35" s="237">
        <f t="shared" si="5"/>
        <v>0</v>
      </c>
    </row>
    <row r="36" spans="1:21" s="217" customFormat="1" ht="10.5" customHeight="1">
      <c r="A36" s="207"/>
      <c r="B36" s="215"/>
      <c r="C36" s="215"/>
      <c r="D36" s="215"/>
      <c r="E36" s="215"/>
      <c r="F36" s="208"/>
      <c r="G36" s="215"/>
      <c r="H36" s="215"/>
      <c r="I36" s="215"/>
      <c r="J36" s="208"/>
      <c r="K36" s="215"/>
      <c r="L36" s="215"/>
      <c r="M36" s="215"/>
      <c r="N36" s="208"/>
      <c r="O36" s="215"/>
      <c r="P36" s="215"/>
      <c r="Q36" s="215"/>
      <c r="R36" s="208"/>
      <c r="S36" s="234"/>
      <c r="U36" s="237"/>
    </row>
    <row r="37" spans="1:21" ht="13.5">
      <c r="A37" s="223" t="s">
        <v>364</v>
      </c>
      <c r="B37" s="227"/>
      <c r="C37" s="227">
        <f>C9+C12+C18+C21+C22+C23+C24+C25+C26+C27+C29+C30</f>
        <v>304344</v>
      </c>
      <c r="D37" s="227">
        <f>D9+D12+D18+D21+D22+D23+D24+D25+D26+D27+D29+D30</f>
        <v>649066</v>
      </c>
      <c r="E37" s="227">
        <f>E9+E12+E18+E21+E22+E23+E24+E25+E26+E27+E29+E30</f>
        <v>565117.79</v>
      </c>
      <c r="F37" s="231">
        <f t="shared" si="1"/>
        <v>1518527.79</v>
      </c>
      <c r="G37" s="394">
        <f>G9+G12+G18+G21+G22+G23+G24+G25+G26+G27+G29+G30</f>
        <v>777531.1</v>
      </c>
      <c r="H37" s="227">
        <f>H9+H12+H18+H21+H22+H23+H24+H25+H26+H27+H29+H30</f>
        <v>668369.49</v>
      </c>
      <c r="I37" s="227">
        <f>I9+I12+I18+I21+I22+I23+I24+I25+I26+I27+I29+I30</f>
        <v>320209.30999999994</v>
      </c>
      <c r="J37" s="231">
        <f>SUM(G37:I37)</f>
        <v>1766109.9</v>
      </c>
      <c r="K37" s="227">
        <f>K9+K12+K18+K21+K22+K23+K24+K25+K26+K27+K29+K30</f>
        <v>451772</v>
      </c>
      <c r="L37" s="227">
        <f>L9+L12+L18+L21+L22+L23+L24+L25+L26+L27+L29+L30</f>
        <v>321474.33999999997</v>
      </c>
      <c r="M37" s="227">
        <f>M9+M12+M18+M21+M22+M23+M24+M25+M26+M27+M29+M30</f>
        <v>355488</v>
      </c>
      <c r="N37" s="231">
        <f>SUM(K37:M37)</f>
        <v>1128734.3399999999</v>
      </c>
      <c r="O37" s="227">
        <f>O9+O12+O18+O21+O22+O23+O24+O25+O26+O27+O29+O30</f>
        <v>625412</v>
      </c>
      <c r="P37" s="227">
        <f>P9+P12+P18+P21+P22+P23+P24+P25+P26+P27+P29+P30</f>
        <v>568422</v>
      </c>
      <c r="Q37" s="227">
        <f>Q9+Q12+Q18+Q21+Q22+Q23+Q24+Q25+Q26+Q27+Q29+Q30</f>
        <v>891500.17</v>
      </c>
      <c r="R37" s="231">
        <f>SUM(O37:Q37)</f>
        <v>2085334.17</v>
      </c>
      <c r="S37" s="233">
        <f t="shared" si="0"/>
        <v>6498706.2</v>
      </c>
      <c r="T37" s="212">
        <f>свод!F134</f>
        <v>6498706.199999999</v>
      </c>
      <c r="U37" s="237">
        <f t="shared" si="5"/>
        <v>0</v>
      </c>
    </row>
    <row r="38" spans="1:21" ht="13.5">
      <c r="A38" s="216" t="s">
        <v>172</v>
      </c>
      <c r="C38" s="207">
        <f>C9+C12</f>
        <v>61459</v>
      </c>
      <c r="D38" s="207">
        <f>D9+D12</f>
        <v>200049</v>
      </c>
      <c r="E38" s="207">
        <f>E9+E12</f>
        <v>200050</v>
      </c>
      <c r="F38" s="206">
        <f t="shared" si="1"/>
        <v>461558</v>
      </c>
      <c r="G38" s="207">
        <f>G9+G12</f>
        <v>200050</v>
      </c>
      <c r="H38" s="207">
        <f>H9+H12</f>
        <v>263326.4</v>
      </c>
      <c r="I38" s="207">
        <f>I9+I12</f>
        <v>47952.46</v>
      </c>
      <c r="J38" s="206">
        <f>SUM(G38:I38)</f>
        <v>511328.86000000004</v>
      </c>
      <c r="K38" s="207">
        <f>K9+K12</f>
        <v>33358</v>
      </c>
      <c r="L38" s="207">
        <f>L9+L12</f>
        <v>121546.34</v>
      </c>
      <c r="M38" s="207">
        <f>M9+M12</f>
        <v>196691</v>
      </c>
      <c r="N38" s="206">
        <f>SUM(K38:M38)</f>
        <v>351595.33999999997</v>
      </c>
      <c r="O38" s="207">
        <f>O9+O12</f>
        <v>200050</v>
      </c>
      <c r="P38" s="207">
        <f>P9+P12</f>
        <v>200048</v>
      </c>
      <c r="Q38" s="207">
        <f>Q9+Q12</f>
        <v>324871</v>
      </c>
      <c r="R38" s="206">
        <f>SUM(O38:Q38)</f>
        <v>724969</v>
      </c>
      <c r="S38" s="232">
        <f t="shared" si="0"/>
        <v>2049451.2</v>
      </c>
      <c r="T38" s="212">
        <f>свод!F41</f>
        <v>2049451.1999999997</v>
      </c>
      <c r="U38" s="237">
        <f t="shared" si="5"/>
        <v>0</v>
      </c>
    </row>
    <row r="39" spans="1:21" ht="13.5">
      <c r="A39" s="207" t="s">
        <v>173</v>
      </c>
      <c r="C39" s="207">
        <f>C18+C21+C22+C23+C24+C25+C26+C27+C29+C30</f>
        <v>242885</v>
      </c>
      <c r="D39" s="207">
        <f>D18+D21+D22+D23+D24+D25+D26+D27+D29+D30</f>
        <v>449017</v>
      </c>
      <c r="E39" s="207">
        <f>E18+E21+E22+E23+E24+E25+E26+E27+E29+E30</f>
        <v>365067.79000000004</v>
      </c>
      <c r="F39" s="206">
        <f t="shared" si="1"/>
        <v>1056969.79</v>
      </c>
      <c r="G39" s="207">
        <f>G18+G21+G22+G23+G24+G25+G26+G27+G29+G30</f>
        <v>577481.1</v>
      </c>
      <c r="H39" s="207">
        <f>H18+H21+H22+H23+H24+H25+H26+H27+H29+H30</f>
        <v>405043.08999999997</v>
      </c>
      <c r="I39" s="207">
        <f>I18+I21+I22+I23+I24+I25+I26+I27+I29+I30</f>
        <v>272256.85</v>
      </c>
      <c r="J39" s="206">
        <f>SUM(G39:I39)</f>
        <v>1254781.04</v>
      </c>
      <c r="K39" s="207">
        <f>K18+K21+K22+K23+K24+K25+K26+K27+K29+K30</f>
        <v>418414</v>
      </c>
      <c r="L39" s="207">
        <f>L18+L21+L22+L23+L24+L25+L26+L27+L29+L30</f>
        <v>199928</v>
      </c>
      <c r="M39" s="207">
        <f>M18+M21+M22+M23+M24+M25+M26+M27+M29+M30</f>
        <v>158797</v>
      </c>
      <c r="N39" s="206">
        <f>SUM(K39:M39)</f>
        <v>777139</v>
      </c>
      <c r="O39" s="207">
        <f>O18+O21+O22+O23+O24+O25+O26+O27+O29+O30</f>
        <v>425362</v>
      </c>
      <c r="P39" s="207">
        <f>P18+P21+P22+P23+P24+P25+P26+P27+P29+P30</f>
        <v>368374</v>
      </c>
      <c r="Q39" s="207">
        <f>Q18+Q21+Q22+Q23+Q24+Q25+Q26+Q27+Q29+Q30</f>
        <v>566629.17</v>
      </c>
      <c r="R39" s="206">
        <f>SUM(O39:Q39)</f>
        <v>1360365.17</v>
      </c>
      <c r="S39" s="232">
        <f t="shared" si="0"/>
        <v>4449255</v>
      </c>
      <c r="T39" s="212">
        <f>свод!F47+свод!F67+свод!F95+свод!F107+свод!F112+свод!F118+свод!F121+свод!F125+свод!F133</f>
        <v>4449255</v>
      </c>
      <c r="U39" s="237">
        <f t="shared" si="5"/>
        <v>0</v>
      </c>
    </row>
    <row r="40" spans="6:21" ht="5.25" customHeight="1" hidden="1">
      <c r="F40" s="208"/>
      <c r="J40" s="208"/>
      <c r="N40" s="208"/>
      <c r="R40" s="208"/>
      <c r="S40" s="234"/>
      <c r="U40" s="237"/>
    </row>
    <row r="41" spans="1:21" s="216" customFormat="1" ht="13.5">
      <c r="A41" s="223" t="s">
        <v>365</v>
      </c>
      <c r="B41" s="224"/>
      <c r="C41" s="224">
        <f>C28</f>
        <v>207105</v>
      </c>
      <c r="D41" s="224">
        <f>D28</f>
        <v>0</v>
      </c>
      <c r="E41" s="224">
        <f>E28</f>
        <v>31876</v>
      </c>
      <c r="F41" s="231">
        <f t="shared" si="1"/>
        <v>238981</v>
      </c>
      <c r="G41" s="224">
        <f>G28</f>
        <v>120472</v>
      </c>
      <c r="H41" s="224">
        <f>H28</f>
        <v>0</v>
      </c>
      <c r="I41" s="224">
        <f>I28</f>
        <v>0</v>
      </c>
      <c r="J41" s="231">
        <f>SUM(G41:I41)</f>
        <v>120472</v>
      </c>
      <c r="K41" s="224">
        <f>K28</f>
        <v>34243</v>
      </c>
      <c r="L41" s="224">
        <f>L28</f>
        <v>87079</v>
      </c>
      <c r="M41" s="224">
        <f>M28</f>
        <v>0</v>
      </c>
      <c r="N41" s="231">
        <f>SUM(K41:M41)</f>
        <v>121322</v>
      </c>
      <c r="O41" s="224">
        <f>O28</f>
        <v>34243</v>
      </c>
      <c r="P41" s="224">
        <f>P28</f>
        <v>86910</v>
      </c>
      <c r="Q41" s="224">
        <f>Q28</f>
        <v>0</v>
      </c>
      <c r="R41" s="231">
        <f>SUM(O41:Q41)</f>
        <v>121153</v>
      </c>
      <c r="S41" s="233">
        <f t="shared" si="0"/>
        <v>601928</v>
      </c>
      <c r="T41" s="235">
        <f>свод!F144</f>
        <v>601928</v>
      </c>
      <c r="U41" s="237">
        <f t="shared" si="5"/>
        <v>0</v>
      </c>
    </row>
    <row r="42" spans="1:21" s="199" customFormat="1" ht="13.5">
      <c r="A42" s="207" t="s">
        <v>173</v>
      </c>
      <c r="C42" s="199">
        <f>C28</f>
        <v>207105</v>
      </c>
      <c r="D42" s="199">
        <f>D28</f>
        <v>0</v>
      </c>
      <c r="E42" s="199">
        <f>E28</f>
        <v>31876</v>
      </c>
      <c r="F42" s="206">
        <f t="shared" si="1"/>
        <v>238981</v>
      </c>
      <c r="G42" s="199">
        <f>G28</f>
        <v>120472</v>
      </c>
      <c r="H42" s="199">
        <f>H28</f>
        <v>0</v>
      </c>
      <c r="I42" s="199">
        <f>I28</f>
        <v>0</v>
      </c>
      <c r="J42" s="206">
        <f>SUM(G42:I42)</f>
        <v>120472</v>
      </c>
      <c r="K42" s="199">
        <f>K28</f>
        <v>34243</v>
      </c>
      <c r="L42" s="199">
        <f>L28</f>
        <v>87079</v>
      </c>
      <c r="M42" s="199">
        <f>M28</f>
        <v>0</v>
      </c>
      <c r="N42" s="206">
        <f>SUM(K42:M42)</f>
        <v>121322</v>
      </c>
      <c r="O42" s="199">
        <f>O28</f>
        <v>34243</v>
      </c>
      <c r="P42" s="199">
        <f>P28</f>
        <v>86910</v>
      </c>
      <c r="Q42" s="199">
        <f>Q28</f>
        <v>0</v>
      </c>
      <c r="R42" s="206">
        <f>SUM(O42:Q42)</f>
        <v>121153</v>
      </c>
      <c r="S42" s="232">
        <f t="shared" si="0"/>
        <v>601928</v>
      </c>
      <c r="T42" s="220">
        <f>свод!F144</f>
        <v>601928</v>
      </c>
      <c r="U42" s="237">
        <f t="shared" si="5"/>
        <v>0</v>
      </c>
    </row>
    <row r="43" spans="1:21" s="225" customFormat="1" ht="13.5">
      <c r="A43" s="228" t="s">
        <v>174</v>
      </c>
      <c r="B43" s="229"/>
      <c r="C43" s="230">
        <f>C32+C37+C41</f>
        <v>668514</v>
      </c>
      <c r="D43" s="230">
        <f>D32+D37+D41</f>
        <v>1160313</v>
      </c>
      <c r="E43" s="230">
        <f>E32+E37+E41</f>
        <v>1111988.79</v>
      </c>
      <c r="F43" s="231">
        <f t="shared" si="1"/>
        <v>2940815.79</v>
      </c>
      <c r="G43" s="230">
        <f>G32+G37+G41</f>
        <v>1951630.1</v>
      </c>
      <c r="H43" s="230">
        <f>H32+H37+H41</f>
        <v>1187469.0899999999</v>
      </c>
      <c r="I43" s="230">
        <f>I32+I37+I41</f>
        <v>1490346.85</v>
      </c>
      <c r="J43" s="231">
        <f>SUM(G43:I43)</f>
        <v>4629446.04</v>
      </c>
      <c r="K43" s="230">
        <f>K32+K37+K41</f>
        <v>803169</v>
      </c>
      <c r="L43" s="230">
        <f>L32+L37+L41</f>
        <v>500397</v>
      </c>
      <c r="M43" s="230">
        <f>M32+M37+M41</f>
        <v>687316</v>
      </c>
      <c r="N43" s="231">
        <f>SUM(K43:M43)</f>
        <v>1990882</v>
      </c>
      <c r="O43" s="230">
        <f>O32+O37+O41</f>
        <v>1783400</v>
      </c>
      <c r="P43" s="230">
        <f>P32+P37+P41</f>
        <v>744824</v>
      </c>
      <c r="Q43" s="230">
        <f>Q32+Q37+Q41</f>
        <v>1890432.17</v>
      </c>
      <c r="R43" s="231">
        <f>SUM(O43:Q43)</f>
        <v>4418656.17</v>
      </c>
      <c r="S43" s="233">
        <f t="shared" si="0"/>
        <v>13979800</v>
      </c>
      <c r="T43" s="226">
        <f>свод!F145</f>
        <v>13979800</v>
      </c>
      <c r="U43" s="237">
        <f t="shared" si="5"/>
        <v>0</v>
      </c>
    </row>
    <row r="44" spans="1:19" s="199" customFormat="1" ht="12.75">
      <c r="A44" s="219"/>
      <c r="F44" s="199">
        <f>1295950.79+1644865</f>
        <v>2940815.79</v>
      </c>
      <c r="J44" s="199">
        <f>1375253.04+3254193</f>
        <v>4629446.04</v>
      </c>
      <c r="K44" s="311"/>
      <c r="N44" s="199">
        <f>898461+1092421</f>
        <v>1990882</v>
      </c>
      <c r="R44" s="199">
        <f>1481518.17+2937138</f>
        <v>4418656.17</v>
      </c>
      <c r="S44" s="220">
        <f>5051183+8928617</f>
        <v>13979800</v>
      </c>
    </row>
    <row r="45" spans="1:19" s="199" customFormat="1" ht="12.75">
      <c r="A45" s="221"/>
      <c r="F45" s="199">
        <f>F44-F43</f>
        <v>0</v>
      </c>
      <c r="J45" s="199">
        <f>J44-J43</f>
        <v>0</v>
      </c>
      <c r="K45" s="311"/>
      <c r="N45" s="199">
        <f>N44-N43</f>
        <v>0</v>
      </c>
      <c r="R45" s="199">
        <f>R44-R43</f>
        <v>0</v>
      </c>
      <c r="S45" s="220">
        <f>S44-S43</f>
        <v>0</v>
      </c>
    </row>
    <row r="46" spans="1:19" s="199" customFormat="1" ht="12.75">
      <c r="A46" s="219" t="s">
        <v>175</v>
      </c>
      <c r="C46" s="610" t="s">
        <v>450</v>
      </c>
      <c r="D46" s="610"/>
      <c r="E46" s="610"/>
      <c r="S46" s="220"/>
    </row>
    <row r="47" s="199" customFormat="1" ht="12.75">
      <c r="S47" s="220"/>
    </row>
    <row r="48" spans="1:19" s="199" customFormat="1" ht="12.75">
      <c r="A48" s="199" t="s">
        <v>176</v>
      </c>
      <c r="D48" s="610" t="s">
        <v>445</v>
      </c>
      <c r="E48" s="610"/>
      <c r="F48" s="610"/>
      <c r="S48" s="220"/>
    </row>
    <row r="49" ht="12.75">
      <c r="A49" s="199"/>
    </row>
    <row r="50" ht="12.75">
      <c r="A50" s="199"/>
    </row>
    <row r="51" spans="3:18" ht="12.75">
      <c r="C51" s="207">
        <v>218524</v>
      </c>
      <c r="D51" s="207">
        <v>711296</v>
      </c>
      <c r="E51" s="207">
        <v>715044</v>
      </c>
      <c r="F51" s="207">
        <f>C51+D51+E51</f>
        <v>1644864</v>
      </c>
      <c r="G51" s="207">
        <v>1253677</v>
      </c>
      <c r="H51" s="207">
        <v>782426</v>
      </c>
      <c r="I51" s="207">
        <v>1218088</v>
      </c>
      <c r="J51" s="207">
        <f>G51+H51+I51</f>
        <v>3254191</v>
      </c>
      <c r="K51" s="207">
        <v>350512</v>
      </c>
      <c r="L51" s="207">
        <v>213390</v>
      </c>
      <c r="M51" s="207">
        <v>528520</v>
      </c>
      <c r="N51" s="207">
        <f>K51+L51+M51</f>
        <v>1092422</v>
      </c>
      <c r="O51" s="207">
        <v>1323795</v>
      </c>
      <c r="P51" s="207">
        <v>289542</v>
      </c>
      <c r="Q51" s="207">
        <v>1323803</v>
      </c>
      <c r="R51" s="207">
        <f>O51+P51+Q51</f>
        <v>2937140</v>
      </c>
    </row>
    <row r="52" spans="3:17" ht="12.75">
      <c r="C52" s="207">
        <f>C51-C33-C38</f>
        <v>0</v>
      </c>
      <c r="D52" s="207">
        <f>D51-D33-D38</f>
        <v>0</v>
      </c>
      <c r="E52" s="207">
        <f>E51-E33-E38</f>
        <v>-1</v>
      </c>
      <c r="G52" s="207">
        <f>G51-G33-G38</f>
        <v>0</v>
      </c>
      <c r="H52" s="207">
        <f>H51-H33-H38</f>
        <v>0</v>
      </c>
      <c r="I52" s="207">
        <v>0</v>
      </c>
      <c r="K52" s="207">
        <f>K51-K33-K38</f>
        <v>0</v>
      </c>
      <c r="L52" s="207">
        <f>L51-L33-L38</f>
        <v>0</v>
      </c>
      <c r="M52" s="207">
        <f>M51-M33-M38</f>
        <v>1</v>
      </c>
      <c r="O52" s="207">
        <f>O51-O33-O38</f>
        <v>0</v>
      </c>
      <c r="P52" s="207">
        <f>P51-P33-P38</f>
        <v>2</v>
      </c>
      <c r="Q52" s="207">
        <f>Q51-Q33-Q38</f>
        <v>0</v>
      </c>
    </row>
  </sheetData>
  <sheetProtection/>
  <mergeCells count="6">
    <mergeCell ref="A1:S1"/>
    <mergeCell ref="B3:B4"/>
    <mergeCell ref="C3:R3"/>
    <mergeCell ref="A5:A6"/>
    <mergeCell ref="C46:E46"/>
    <mergeCell ref="D48:F48"/>
  </mergeCells>
  <printOptions/>
  <pageMargins left="0" right="0" top="0" bottom="0.34" header="0.31496062992125984" footer="0.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G46" sqref="G46"/>
    </sheetView>
  </sheetViews>
  <sheetFormatPr defaultColWidth="9.140625" defaultRowHeight="15"/>
  <cols>
    <col min="1" max="1" width="15.28125" style="24" customWidth="1"/>
    <col min="2" max="2" width="14.140625" style="24" customWidth="1"/>
    <col min="3" max="3" width="15.421875" style="24" customWidth="1"/>
    <col min="4" max="4" width="11.7109375" style="24" customWidth="1"/>
    <col min="5" max="5" width="12.140625" style="24" customWidth="1"/>
    <col min="6" max="6" width="12.57421875" style="24" customWidth="1"/>
    <col min="7" max="7" width="12.8515625" style="24" customWidth="1"/>
    <col min="8" max="8" width="10.00390625" style="24" bestFit="1" customWidth="1"/>
    <col min="9" max="9" width="10.140625" style="24" customWidth="1"/>
    <col min="10" max="10" width="10.00390625" style="24" bestFit="1" customWidth="1"/>
    <col min="11" max="11" width="10.00390625" style="25" bestFit="1" customWidth="1"/>
    <col min="12" max="13" width="9.140625" style="25" customWidth="1"/>
    <col min="14" max="14" width="13.57421875" style="25" customWidth="1"/>
    <col min="15" max="15" width="11.57421875" style="25" customWidth="1"/>
    <col min="16" max="16384" width="9.140625" style="25" customWidth="1"/>
  </cols>
  <sheetData>
    <row r="1" spans="6:7" ht="12.75">
      <c r="F1" s="616" t="s">
        <v>185</v>
      </c>
      <c r="G1" s="616"/>
    </row>
    <row r="2" spans="1:10" s="22" customFormat="1" ht="35.25" customHeight="1">
      <c r="A2" s="617" t="s">
        <v>186</v>
      </c>
      <c r="B2" s="617"/>
      <c r="C2" s="617"/>
      <c r="D2" s="617"/>
      <c r="E2" s="617"/>
      <c r="F2" s="617"/>
      <c r="G2" s="617"/>
      <c r="H2" s="21"/>
      <c r="I2" s="21"/>
      <c r="J2" s="21"/>
    </row>
    <row r="3" spans="1:7" ht="11.25" customHeight="1">
      <c r="A3" s="23"/>
      <c r="B3" s="23"/>
      <c r="C3" s="23"/>
      <c r="D3" s="23"/>
      <c r="E3" s="23"/>
      <c r="F3" s="618"/>
      <c r="G3" s="618"/>
    </row>
    <row r="4" spans="1:7" ht="48" customHeight="1">
      <c r="A4" s="615" t="s">
        <v>334</v>
      </c>
      <c r="B4" s="615"/>
      <c r="C4" s="615"/>
      <c r="D4" s="615"/>
      <c r="E4" s="615"/>
      <c r="F4" s="615"/>
      <c r="G4" s="615"/>
    </row>
    <row r="5" spans="1:7" ht="38.25">
      <c r="A5" s="26" t="s">
        <v>342</v>
      </c>
      <c r="B5" s="26" t="s">
        <v>187</v>
      </c>
      <c r="C5" s="26" t="s">
        <v>188</v>
      </c>
      <c r="D5" s="26" t="s">
        <v>189</v>
      </c>
      <c r="E5" s="26" t="s">
        <v>190</v>
      </c>
      <c r="F5" s="26" t="s">
        <v>191</v>
      </c>
      <c r="G5" s="26" t="s">
        <v>192</v>
      </c>
    </row>
    <row r="6" spans="1:11" ht="12.75">
      <c r="A6" s="26">
        <f>M10</f>
        <v>0</v>
      </c>
      <c r="B6" s="26">
        <f>P10</f>
        <v>0</v>
      </c>
      <c r="C6" s="26">
        <f>Q10</f>
        <v>0</v>
      </c>
      <c r="D6" s="26">
        <v>9</v>
      </c>
      <c r="E6" s="26">
        <v>1</v>
      </c>
      <c r="F6" s="26">
        <f>ROUND((A6*B6*C6)*D6*E6,0)</f>
        <v>0</v>
      </c>
      <c r="G6" s="26">
        <f>ROUND(F6*30.2%,0)</f>
        <v>0</v>
      </c>
      <c r="K6" s="25" t="s">
        <v>347</v>
      </c>
    </row>
    <row r="7" spans="1:10" ht="12.75">
      <c r="A7" s="26">
        <f>M14</f>
        <v>0</v>
      </c>
      <c r="B7" s="26">
        <f>P14</f>
        <v>0</v>
      </c>
      <c r="C7" s="26">
        <f>Q14</f>
        <v>0</v>
      </c>
      <c r="D7" s="26">
        <v>3</v>
      </c>
      <c r="E7" s="26">
        <v>1.055</v>
      </c>
      <c r="F7" s="26">
        <f>ROUND((A7*B7*C7)*D7*E7,0)</f>
        <v>0</v>
      </c>
      <c r="G7" s="26">
        <f>ROUND(F7*30.2%,0)</f>
        <v>0</v>
      </c>
      <c r="J7" s="24" t="s">
        <v>353</v>
      </c>
    </row>
    <row r="8" spans="1:17" ht="12.75">
      <c r="A8" s="26"/>
      <c r="B8" s="26"/>
      <c r="C8" s="26"/>
      <c r="D8" s="26"/>
      <c r="E8" s="26"/>
      <c r="F8" s="26">
        <f>ROUND((A8*B8*C8)*D8*E8,2)</f>
        <v>0</v>
      </c>
      <c r="G8" s="26">
        <f>ROUND(F8*30.2%,2)</f>
        <v>0</v>
      </c>
      <c r="J8" s="187"/>
      <c r="K8" s="16"/>
      <c r="L8" s="187" t="s">
        <v>348</v>
      </c>
      <c r="M8" s="187" t="s">
        <v>349</v>
      </c>
      <c r="N8" s="187" t="s">
        <v>350</v>
      </c>
      <c r="O8" s="187" t="s">
        <v>351</v>
      </c>
      <c r="P8" s="187"/>
      <c r="Q8" s="187"/>
    </row>
    <row r="9" spans="1:17" ht="12.75">
      <c r="A9" s="26" t="s">
        <v>193</v>
      </c>
      <c r="B9" s="26"/>
      <c r="C9" s="26"/>
      <c r="D9" s="26"/>
      <c r="E9" s="26"/>
      <c r="F9" s="190">
        <f>F8+F7+F6</f>
        <v>0</v>
      </c>
      <c r="G9" s="190">
        <f>G8+G7+G6</f>
        <v>0</v>
      </c>
      <c r="J9" s="187">
        <v>1</v>
      </c>
      <c r="K9" s="16" t="s">
        <v>272</v>
      </c>
      <c r="L9" s="188">
        <v>167414</v>
      </c>
      <c r="M9" s="188">
        <v>14.6</v>
      </c>
      <c r="N9" s="187">
        <f>L9-O9</f>
        <v>74673</v>
      </c>
      <c r="O9" s="188">
        <v>92741</v>
      </c>
      <c r="P9" s="187"/>
      <c r="Q9" s="187"/>
    </row>
    <row r="10" spans="10:17" ht="12.75">
      <c r="J10" s="187"/>
      <c r="K10" s="187" t="s">
        <v>352</v>
      </c>
      <c r="L10" s="187">
        <f>O10+N10</f>
        <v>0</v>
      </c>
      <c r="M10" s="188">
        <v>0</v>
      </c>
      <c r="N10" s="188">
        <v>0</v>
      </c>
      <c r="O10" s="188">
        <v>0</v>
      </c>
      <c r="P10" s="187">
        <f>IF(M10=0,0,ROUND(N10/M10,2))</f>
        <v>0</v>
      </c>
      <c r="Q10" s="187">
        <f>IF(N10=0,0,O10/N10+1)</f>
        <v>0</v>
      </c>
    </row>
    <row r="11" spans="1:17" ht="28.5" customHeight="1" thickBot="1">
      <c r="A11" s="623" t="s">
        <v>338</v>
      </c>
      <c r="B11" s="623"/>
      <c r="C11" s="623"/>
      <c r="D11" s="623"/>
      <c r="E11" s="623"/>
      <c r="F11" s="623"/>
      <c r="G11" s="623"/>
      <c r="J11" s="187"/>
      <c r="K11" s="187" t="s">
        <v>312</v>
      </c>
      <c r="L11" s="187">
        <f>L9-L10</f>
        <v>167414</v>
      </c>
      <c r="M11" s="187">
        <f>M9-M10</f>
        <v>14.6</v>
      </c>
      <c r="N11" s="187">
        <f>N9-N10</f>
        <v>74673</v>
      </c>
      <c r="O11" s="187">
        <f>O9-O10</f>
        <v>92741</v>
      </c>
      <c r="P11" s="187">
        <f>ROUND(N11/M11,2)</f>
        <v>5114.59</v>
      </c>
      <c r="Q11" s="187">
        <f>O11/N11+1-0.00000042</f>
        <v>2.2419611993269317</v>
      </c>
    </row>
    <row r="12" spans="1:17" ht="25.5">
      <c r="A12" s="27" t="s">
        <v>339</v>
      </c>
      <c r="B12" s="28" t="s">
        <v>194</v>
      </c>
      <c r="C12" s="28" t="s">
        <v>343</v>
      </c>
      <c r="D12" s="624" t="s">
        <v>341</v>
      </c>
      <c r="E12" s="625"/>
      <c r="J12" s="16"/>
      <c r="K12" s="187"/>
      <c r="L12" s="187"/>
      <c r="M12" s="187"/>
      <c r="N12" s="187"/>
      <c r="O12" s="187"/>
      <c r="P12" s="187"/>
      <c r="Q12" s="187"/>
    </row>
    <row r="13" spans="1:17" ht="12.75">
      <c r="A13" s="29"/>
      <c r="B13" s="26"/>
      <c r="C13" s="26">
        <v>12</v>
      </c>
      <c r="D13" s="626"/>
      <c r="E13" s="627"/>
      <c r="J13" s="16">
        <v>2</v>
      </c>
      <c r="K13" s="16" t="s">
        <v>272</v>
      </c>
      <c r="L13" s="188">
        <v>0</v>
      </c>
      <c r="M13" s="188">
        <v>0</v>
      </c>
      <c r="N13" s="187">
        <f>L13-O13</f>
        <v>0</v>
      </c>
      <c r="O13" s="188">
        <v>0</v>
      </c>
      <c r="P13" s="187"/>
      <c r="Q13" s="187"/>
    </row>
    <row r="14" spans="1:17" ht="13.5" thickBot="1">
      <c r="A14" s="31"/>
      <c r="B14" s="32"/>
      <c r="C14" s="32"/>
      <c r="D14" s="628"/>
      <c r="E14" s="629"/>
      <c r="J14" s="189"/>
      <c r="K14" s="187" t="s">
        <v>352</v>
      </c>
      <c r="L14" s="187">
        <f>O14+N14</f>
        <v>0</v>
      </c>
      <c r="M14" s="188">
        <v>0</v>
      </c>
      <c r="N14" s="188">
        <v>0</v>
      </c>
      <c r="O14" s="188">
        <v>0</v>
      </c>
      <c r="P14" s="187">
        <f>IF(M14=0,0,ROUND(N14/M14,2))</f>
        <v>0</v>
      </c>
      <c r="Q14" s="187">
        <f>IF(N14=0,0,O14/N14+1)</f>
        <v>0</v>
      </c>
    </row>
    <row r="15" spans="10:17" ht="12.75">
      <c r="J15" s="16"/>
      <c r="K15" s="187" t="s">
        <v>312</v>
      </c>
      <c r="L15" s="187">
        <f>L13-L14</f>
        <v>0</v>
      </c>
      <c r="M15" s="187">
        <f>M13-M14</f>
        <v>0</v>
      </c>
      <c r="N15" s="187">
        <f>N13-N14</f>
        <v>0</v>
      </c>
      <c r="O15" s="187">
        <f>O13-O14</f>
        <v>0</v>
      </c>
      <c r="P15" s="187" t="e">
        <f>ROUND(N15/M15,2)</f>
        <v>#DIV/0!</v>
      </c>
      <c r="Q15" s="187" t="e">
        <f>O15/N15+1</f>
        <v>#DIV/0!</v>
      </c>
    </row>
    <row r="16" spans="1:7" ht="49.5" customHeight="1" thickBot="1">
      <c r="A16" s="615" t="s">
        <v>335</v>
      </c>
      <c r="B16" s="615"/>
      <c r="C16" s="615"/>
      <c r="D16" s="615"/>
      <c r="E16" s="615"/>
      <c r="F16" s="615"/>
      <c r="G16" s="615"/>
    </row>
    <row r="17" spans="1:10" ht="38.25">
      <c r="A17" s="41" t="s">
        <v>195</v>
      </c>
      <c r="B17" s="28" t="s">
        <v>196</v>
      </c>
      <c r="C17" s="28" t="s">
        <v>343</v>
      </c>
      <c r="D17" s="28" t="s">
        <v>191</v>
      </c>
      <c r="E17" s="42" t="s">
        <v>192</v>
      </c>
      <c r="J17" s="24" t="s">
        <v>172</v>
      </c>
    </row>
    <row r="18" spans="1:17" ht="12.75">
      <c r="A18" s="29"/>
      <c r="B18" s="26"/>
      <c r="C18" s="26"/>
      <c r="D18" s="44">
        <v>0</v>
      </c>
      <c r="E18" s="44">
        <f>ROUND(D18*30.2%,0)</f>
        <v>0</v>
      </c>
      <c r="J18" s="187"/>
      <c r="K18" s="16"/>
      <c r="L18" s="187" t="s">
        <v>348</v>
      </c>
      <c r="M18" s="187" t="s">
        <v>349</v>
      </c>
      <c r="N18" s="187" t="s">
        <v>350</v>
      </c>
      <c r="O18" s="187" t="s">
        <v>351</v>
      </c>
      <c r="P18" s="187" t="s">
        <v>355</v>
      </c>
      <c r="Q18" s="187"/>
    </row>
    <row r="19" spans="1:18" ht="12.75">
      <c r="A19" s="29"/>
      <c r="B19" s="26"/>
      <c r="C19" s="26"/>
      <c r="D19" s="44">
        <f>ROUND(A19*B19*C19,2)</f>
        <v>0</v>
      </c>
      <c r="E19" s="44">
        <f>ROUND(D19*30.2%,0)</f>
        <v>0</v>
      </c>
      <c r="J19" s="187">
        <v>1</v>
      </c>
      <c r="K19" s="16" t="s">
        <v>272</v>
      </c>
      <c r="L19" s="188">
        <f>546105+206</f>
        <v>546311</v>
      </c>
      <c r="M19" s="188">
        <v>31.67</v>
      </c>
      <c r="N19" s="187">
        <f>L19-O19</f>
        <v>332404.75</v>
      </c>
      <c r="O19" s="188">
        <f>53921.25+161985-2000</f>
        <v>213906.25</v>
      </c>
      <c r="P19" s="188">
        <v>0</v>
      </c>
      <c r="Q19" s="187"/>
      <c r="R19" s="187"/>
    </row>
    <row r="20" spans="1:18" ht="12.75">
      <c r="A20" s="29"/>
      <c r="B20" s="26"/>
      <c r="C20" s="26"/>
      <c r="D20" s="44">
        <f>ROUND(A20*B20*C20,2)</f>
        <v>0</v>
      </c>
      <c r="E20" s="44">
        <f>ROUND(D20*30.2%,0)</f>
        <v>0</v>
      </c>
      <c r="J20" s="187"/>
      <c r="K20" s="187" t="s">
        <v>352</v>
      </c>
      <c r="L20" s="187">
        <f>O20+N20</f>
        <v>415137.76</v>
      </c>
      <c r="M20" s="188">
        <v>22.17</v>
      </c>
      <c r="N20" s="188">
        <f>207633.71+2000</f>
        <v>209633.71</v>
      </c>
      <c r="O20" s="188">
        <f>45519.05+161985-2000</f>
        <v>205504.05</v>
      </c>
      <c r="P20" s="188">
        <v>0</v>
      </c>
      <c r="Q20" s="187">
        <f>ROUND((N20+P20)/M20,2)</f>
        <v>9455.74</v>
      </c>
      <c r="R20" s="187">
        <f>(O20-P20)/(N20+P20)+1</f>
        <v>1.9803005919229308</v>
      </c>
    </row>
    <row r="21" spans="1:18" ht="12.75">
      <c r="A21" s="29"/>
      <c r="B21" s="26"/>
      <c r="C21" s="26"/>
      <c r="D21" s="44">
        <f>ROUND(A21*B21*C21,2)</f>
        <v>0</v>
      </c>
      <c r="E21" s="44">
        <f>ROUND(D21*30.2%,0)</f>
        <v>0</v>
      </c>
      <c r="J21" s="187"/>
      <c r="K21" s="187" t="s">
        <v>312</v>
      </c>
      <c r="L21" s="187">
        <f>L19-L20</f>
        <v>131173.24</v>
      </c>
      <c r="M21" s="187">
        <f>M19-M20</f>
        <v>9.5</v>
      </c>
      <c r="N21" s="187">
        <f>N19-N20</f>
        <v>122771.04000000001</v>
      </c>
      <c r="O21" s="187">
        <f>O19-O20</f>
        <v>8402.200000000012</v>
      </c>
      <c r="P21" s="187">
        <f>P19-P20</f>
        <v>0</v>
      </c>
      <c r="Q21" s="187">
        <f>ROUND((N21+P21)/M21,2)</f>
        <v>12923.27</v>
      </c>
      <c r="R21" s="187">
        <f>(O21-P21)/(N21+P21)+1</f>
        <v>1.0684379638716102</v>
      </c>
    </row>
    <row r="22" spans="1:18" ht="13.5" thickBot="1">
      <c r="A22" s="31" t="s">
        <v>193</v>
      </c>
      <c r="B22" s="32"/>
      <c r="C22" s="32"/>
      <c r="D22" s="45">
        <f>D21+D19+D18+D20</f>
        <v>0</v>
      </c>
      <c r="E22" s="45">
        <f>E21+E19+E18+E20</f>
        <v>0</v>
      </c>
      <c r="J22" s="16"/>
      <c r="K22" s="187"/>
      <c r="L22" s="187"/>
      <c r="M22" s="187"/>
      <c r="N22" s="187"/>
      <c r="O22" s="187"/>
      <c r="P22" s="187"/>
      <c r="Q22" s="187"/>
      <c r="R22" s="187"/>
    </row>
    <row r="23" spans="1:18" ht="12.75">
      <c r="A23" s="25"/>
      <c r="J23" s="16">
        <v>2</v>
      </c>
      <c r="K23" s="16" t="s">
        <v>272</v>
      </c>
      <c r="L23" s="188">
        <f>601045.75+206</f>
        <v>601251.75</v>
      </c>
      <c r="M23" s="188">
        <f>22.17+9.5</f>
        <v>31.67</v>
      </c>
      <c r="N23" s="187">
        <f>L23-O23</f>
        <v>332404.75</v>
      </c>
      <c r="O23" s="188">
        <f>270847-2000</f>
        <v>268847</v>
      </c>
      <c r="P23" s="188">
        <v>0</v>
      </c>
      <c r="Q23" s="187"/>
      <c r="R23" s="187"/>
    </row>
    <row r="24" spans="1:18" ht="45" customHeight="1" thickBot="1">
      <c r="A24" s="615" t="s">
        <v>337</v>
      </c>
      <c r="B24" s="615"/>
      <c r="C24" s="615"/>
      <c r="D24" s="615"/>
      <c r="E24" s="615"/>
      <c r="F24" s="615"/>
      <c r="G24" s="615"/>
      <c r="J24" s="189"/>
      <c r="K24" s="187" t="s">
        <v>352</v>
      </c>
      <c r="L24" s="187">
        <f>O24+N24</f>
        <v>470078.51</v>
      </c>
      <c r="M24" s="188">
        <v>22.17</v>
      </c>
      <c r="N24" s="188">
        <f>207633.71+2000</f>
        <v>209633.71</v>
      </c>
      <c r="O24" s="188">
        <f>262444.8-2000</f>
        <v>260444.8</v>
      </c>
      <c r="P24" s="188">
        <v>0</v>
      </c>
      <c r="Q24" s="187">
        <f>ROUND((N24+P24)/M24,2)</f>
        <v>9455.74</v>
      </c>
      <c r="R24" s="187">
        <f>(O24-P24)/(N24+P24)+1-0.002949745</f>
        <v>2.2394305954519242</v>
      </c>
    </row>
    <row r="25" spans="1:18" ht="38.25">
      <c r="A25" s="26" t="s">
        <v>342</v>
      </c>
      <c r="B25" s="28" t="s">
        <v>187</v>
      </c>
      <c r="C25" s="28" t="s">
        <v>188</v>
      </c>
      <c r="D25" s="28" t="s">
        <v>343</v>
      </c>
      <c r="E25" s="28" t="s">
        <v>190</v>
      </c>
      <c r="F25" s="28" t="s">
        <v>191</v>
      </c>
      <c r="G25" s="42" t="s">
        <v>192</v>
      </c>
      <c r="H25" s="43"/>
      <c r="J25" s="16"/>
      <c r="K25" s="187" t="s">
        <v>312</v>
      </c>
      <c r="L25" s="187">
        <f>L23-L24</f>
        <v>131173.24</v>
      </c>
      <c r="M25" s="187">
        <f>M23-M24</f>
        <v>9.5</v>
      </c>
      <c r="N25" s="187">
        <f>N23-N24</f>
        <v>122771.04000000001</v>
      </c>
      <c r="O25" s="187">
        <f>O23-O24</f>
        <v>8402.200000000012</v>
      </c>
      <c r="P25" s="187">
        <f>P23-P24</f>
        <v>0</v>
      </c>
      <c r="Q25" s="187">
        <f>ROUND((N25+P25)/M25,2)</f>
        <v>12923.27</v>
      </c>
      <c r="R25" s="187">
        <f>(O25-P25)/(N25+P25)+1</f>
        <v>1.0684379638716102</v>
      </c>
    </row>
    <row r="26" spans="1:18" ht="12.75">
      <c r="A26" s="29">
        <f>M20</f>
        <v>22.17</v>
      </c>
      <c r="B26" s="26">
        <f>Q20</f>
        <v>9455.74</v>
      </c>
      <c r="C26" s="26">
        <f>R20</f>
        <v>1.9803005919229308</v>
      </c>
      <c r="D26" s="26">
        <v>8</v>
      </c>
      <c r="E26" s="26">
        <v>1</v>
      </c>
      <c r="F26" s="44">
        <f>ROUND((A26*B26*C26)*D26*E26,2)</f>
        <v>3321102.81</v>
      </c>
      <c r="G26" s="47">
        <f>ROUND(F26*30.2%,0)</f>
        <v>1002973</v>
      </c>
      <c r="H26" s="43"/>
      <c r="J26" s="16"/>
      <c r="K26" s="16"/>
      <c r="L26" s="16"/>
      <c r="M26" s="187"/>
      <c r="N26" s="187"/>
      <c r="O26" s="187"/>
      <c r="P26" s="187"/>
      <c r="Q26" s="187"/>
      <c r="R26" s="187"/>
    </row>
    <row r="27" spans="1:18" ht="12.75">
      <c r="A27" s="29">
        <f>M24</f>
        <v>22.17</v>
      </c>
      <c r="B27" s="26">
        <f>Q24</f>
        <v>9455.74</v>
      </c>
      <c r="C27" s="26">
        <f>R24</f>
        <v>2.2394305954519242</v>
      </c>
      <c r="D27" s="26">
        <v>4</v>
      </c>
      <c r="E27" s="26">
        <v>1</v>
      </c>
      <c r="F27" s="44">
        <f>ROUND((A27*B27*C27)*D27*E27,2)</f>
        <v>1877840.99</v>
      </c>
      <c r="G27" s="47">
        <f>ROUND(F27*30.2%,0)</f>
        <v>567108</v>
      </c>
      <c r="H27" s="43"/>
      <c r="I27" s="43"/>
      <c r="J27" s="16"/>
      <c r="K27" s="16"/>
      <c r="L27" s="382"/>
      <c r="M27" s="382"/>
      <c r="N27" s="187"/>
      <c r="O27" s="382"/>
      <c r="P27" s="382"/>
      <c r="Q27" s="187"/>
      <c r="R27" s="187"/>
    </row>
    <row r="28" spans="1:18" ht="12.75" hidden="1">
      <c r="A28" s="29"/>
      <c r="B28" s="316"/>
      <c r="C28" s="26"/>
      <c r="D28" s="26"/>
      <c r="E28" s="26"/>
      <c r="F28" s="44"/>
      <c r="G28" s="47"/>
      <c r="H28" s="43"/>
      <c r="J28" s="16"/>
      <c r="K28" s="187"/>
      <c r="L28" s="187"/>
      <c r="M28" s="382"/>
      <c r="N28" s="382"/>
      <c r="O28" s="382"/>
      <c r="P28" s="382"/>
      <c r="Q28" s="187"/>
      <c r="R28" s="187"/>
    </row>
    <row r="29" spans="1:18" ht="12.75">
      <c r="A29" s="29"/>
      <c r="B29" s="26"/>
      <c r="C29" s="48"/>
      <c r="D29" s="26"/>
      <c r="E29" s="26"/>
      <c r="F29" s="192">
        <f>A29*D29</f>
        <v>0</v>
      </c>
      <c r="G29" s="47">
        <f>ROUND(F29*30.2%,0)</f>
        <v>0</v>
      </c>
      <c r="H29" s="43"/>
      <c r="J29" s="16"/>
      <c r="K29" s="187"/>
      <c r="L29" s="187"/>
      <c r="M29" s="187"/>
      <c r="N29" s="187"/>
      <c r="O29" s="187"/>
      <c r="P29" s="187"/>
      <c r="Q29" s="187"/>
      <c r="R29" s="187"/>
    </row>
    <row r="30" spans="1:10" ht="13.5" thickBot="1">
      <c r="A30" s="31" t="s">
        <v>193</v>
      </c>
      <c r="B30" s="32"/>
      <c r="C30" s="32"/>
      <c r="D30" s="32"/>
      <c r="E30" s="32"/>
      <c r="F30" s="45">
        <f>F26+F27+F28+F29</f>
        <v>5198943.8</v>
      </c>
      <c r="G30" s="45">
        <f>SUM(G26:G29)</f>
        <v>1570081</v>
      </c>
      <c r="H30" s="43"/>
      <c r="J30" s="25"/>
    </row>
    <row r="31" ht="12.75">
      <c r="H31" s="43"/>
    </row>
    <row r="32" spans="1:7" ht="31.5" customHeight="1" thickBot="1">
      <c r="A32" s="623" t="s">
        <v>336</v>
      </c>
      <c r="B32" s="623"/>
      <c r="C32" s="623"/>
      <c r="D32" s="623"/>
      <c r="E32" s="623"/>
      <c r="F32" s="623"/>
      <c r="G32" s="623"/>
    </row>
    <row r="33" spans="1:9" ht="12.75">
      <c r="A33" s="50" t="s">
        <v>152</v>
      </c>
      <c r="B33" s="51" t="s">
        <v>340</v>
      </c>
      <c r="C33" s="28" t="s">
        <v>344</v>
      </c>
      <c r="D33" s="630" t="s">
        <v>341</v>
      </c>
      <c r="E33" s="631"/>
      <c r="G33" s="43"/>
      <c r="I33" s="43"/>
    </row>
    <row r="34" spans="1:9" ht="12.75">
      <c r="A34" s="388">
        <v>226</v>
      </c>
      <c r="B34" s="389"/>
      <c r="C34" s="390"/>
      <c r="D34" s="391">
        <v>11243</v>
      </c>
      <c r="E34" s="392"/>
      <c r="G34" s="43"/>
      <c r="I34" s="43"/>
    </row>
    <row r="35" spans="1:11" ht="12.75">
      <c r="A35" s="52">
        <v>310</v>
      </c>
      <c r="B35" s="26">
        <f>ROUND(D35/C35,1)</f>
        <v>206</v>
      </c>
      <c r="C35" s="26">
        <f>свод!D6+1</f>
        <v>311</v>
      </c>
      <c r="D35" s="619">
        <v>64077</v>
      </c>
      <c r="E35" s="620"/>
      <c r="I35" s="43"/>
      <c r="K35" s="314"/>
    </row>
    <row r="36" spans="1:11" ht="15.75" customHeight="1" thickBot="1">
      <c r="A36" s="53">
        <v>340</v>
      </c>
      <c r="B36" s="32">
        <f>ROUND(D36/C36,1)</f>
        <v>112</v>
      </c>
      <c r="C36" s="32">
        <f>свод!D6+1</f>
        <v>311</v>
      </c>
      <c r="D36" s="621">
        <v>34821</v>
      </c>
      <c r="E36" s="622"/>
      <c r="I36" s="43"/>
      <c r="K36" s="383"/>
    </row>
    <row r="37" spans="9:11" ht="12.75">
      <c r="I37" s="43"/>
      <c r="K37" s="383"/>
    </row>
    <row r="38" spans="1:11" ht="12.75">
      <c r="A38" s="183" t="s">
        <v>447</v>
      </c>
      <c r="B38" s="183"/>
      <c r="C38" s="183"/>
      <c r="D38" s="183"/>
      <c r="E38" s="184"/>
      <c r="I38" s="43"/>
      <c r="K38" s="314"/>
    </row>
    <row r="39" spans="1:9" ht="12.75">
      <c r="A39" s="25"/>
      <c r="B39" s="25"/>
      <c r="C39" s="25"/>
      <c r="D39" s="25"/>
      <c r="E39" s="186"/>
      <c r="I39" s="43"/>
    </row>
    <row r="40" spans="1:5" ht="12.75">
      <c r="A40" s="25" t="s">
        <v>176</v>
      </c>
      <c r="B40" s="25"/>
      <c r="C40" s="632" t="s">
        <v>445</v>
      </c>
      <c r="D40" s="632"/>
      <c r="E40" s="186"/>
    </row>
    <row r="41" spans="6:9" ht="12.75">
      <c r="F41" s="616" t="s">
        <v>197</v>
      </c>
      <c r="G41" s="616"/>
      <c r="I41" s="43"/>
    </row>
    <row r="42" spans="1:7" ht="18.75">
      <c r="A42" s="617" t="s">
        <v>198</v>
      </c>
      <c r="B42" s="617"/>
      <c r="C42" s="617"/>
      <c r="D42" s="617"/>
      <c r="E42" s="617"/>
      <c r="F42" s="617"/>
      <c r="G42" s="617"/>
    </row>
    <row r="43" spans="1:7" ht="20.25">
      <c r="A43" s="23"/>
      <c r="B43" s="23"/>
      <c r="C43" s="23"/>
      <c r="D43" s="23"/>
      <c r="E43" s="23"/>
      <c r="F43" s="23"/>
      <c r="G43" s="23"/>
    </row>
    <row r="44" spans="1:7" ht="49.5" customHeight="1">
      <c r="A44" s="615" t="s">
        <v>346</v>
      </c>
      <c r="B44" s="615"/>
      <c r="C44" s="615"/>
      <c r="D44" s="615"/>
      <c r="E44" s="615"/>
      <c r="F44" s="615"/>
      <c r="G44" s="615"/>
    </row>
    <row r="45" spans="1:7" ht="25.5">
      <c r="A45" s="26" t="s">
        <v>199</v>
      </c>
      <c r="B45" s="26" t="s">
        <v>187</v>
      </c>
      <c r="C45" s="26" t="s">
        <v>188</v>
      </c>
      <c r="D45" s="26" t="s">
        <v>189</v>
      </c>
      <c r="E45" s="26" t="s">
        <v>190</v>
      </c>
      <c r="F45" s="26" t="s">
        <v>191</v>
      </c>
      <c r="G45" s="26" t="s">
        <v>192</v>
      </c>
    </row>
    <row r="46" spans="1:7" ht="12.75">
      <c r="A46" s="26">
        <f>M11</f>
        <v>14.6</v>
      </c>
      <c r="B46" s="26">
        <f>P11</f>
        <v>5114.59</v>
      </c>
      <c r="C46" s="26">
        <f>Q11</f>
        <v>2.2419611993269317</v>
      </c>
      <c r="D46" s="26">
        <v>12</v>
      </c>
      <c r="E46" s="26">
        <v>1</v>
      </c>
      <c r="F46" s="26">
        <f>ROUND((A46*B46*C46)*D46,2)</f>
        <v>2008968</v>
      </c>
      <c r="G46" s="26">
        <f>ROUND(F46*30.2%,0)</f>
        <v>606708</v>
      </c>
    </row>
    <row r="47" spans="1:7" ht="12.75">
      <c r="A47" s="26">
        <f>M15</f>
        <v>0</v>
      </c>
      <c r="B47" s="26">
        <v>0</v>
      </c>
      <c r="C47" s="26">
        <v>0</v>
      </c>
      <c r="D47" s="26">
        <v>1</v>
      </c>
      <c r="E47" s="26">
        <v>1</v>
      </c>
      <c r="F47" s="26">
        <f>ROUND(A47*B47*C47*D47*E47,2)</f>
        <v>0</v>
      </c>
      <c r="G47" s="26">
        <f>ROUND(F47*30.2%,0)</f>
        <v>0</v>
      </c>
    </row>
    <row r="48" spans="1:8" ht="12.75">
      <c r="A48" s="26">
        <f>A47</f>
        <v>0</v>
      </c>
      <c r="B48" s="26">
        <f>B47</f>
        <v>0</v>
      </c>
      <c r="C48" s="26">
        <f>C47</f>
        <v>0</v>
      </c>
      <c r="D48" s="26">
        <v>1</v>
      </c>
      <c r="E48" s="26">
        <v>1</v>
      </c>
      <c r="F48" s="26">
        <f>ROUND(A48*B48*C48*D48*E48,2)</f>
        <v>0</v>
      </c>
      <c r="G48" s="26">
        <f>ROUND(F48*30.2%,0)</f>
        <v>0</v>
      </c>
      <c r="H48" s="43"/>
    </row>
    <row r="49" spans="1:7" ht="12.75">
      <c r="A49" s="26">
        <f>A48</f>
        <v>0</v>
      </c>
      <c r="B49" s="316">
        <f>B48</f>
        <v>0</v>
      </c>
      <c r="C49" s="26">
        <v>0</v>
      </c>
      <c r="D49" s="26">
        <v>1</v>
      </c>
      <c r="E49" s="26">
        <v>1</v>
      </c>
      <c r="F49" s="26">
        <f>ROUND(A49*B49*C49*D49*E49,2)</f>
        <v>0</v>
      </c>
      <c r="G49" s="26">
        <v>0</v>
      </c>
    </row>
    <row r="50" spans="1:7" ht="12.75">
      <c r="A50" s="191" t="s">
        <v>459</v>
      </c>
      <c r="B50" s="26"/>
      <c r="C50" s="26"/>
      <c r="D50" s="26"/>
      <c r="E50" s="26"/>
      <c r="F50" s="26"/>
      <c r="G50" s="26">
        <v>50559</v>
      </c>
    </row>
    <row r="51" spans="1:10" ht="12.75">
      <c r="A51" s="26" t="s">
        <v>193</v>
      </c>
      <c r="B51" s="26"/>
      <c r="C51" s="26"/>
      <c r="D51" s="26"/>
      <c r="E51" s="26"/>
      <c r="F51" s="44">
        <f>SUM(F46:F50)</f>
        <v>2008968</v>
      </c>
      <c r="G51" s="26">
        <f>SUM(G46:G50)</f>
        <v>657267</v>
      </c>
      <c r="J51" s="43"/>
    </row>
    <row r="52" ht="13.5" thickBot="1">
      <c r="G52" s="43"/>
    </row>
    <row r="53" spans="1:7" ht="102">
      <c r="A53" s="41" t="s">
        <v>200</v>
      </c>
      <c r="B53" s="28" t="s">
        <v>201</v>
      </c>
      <c r="C53" s="28" t="s">
        <v>189</v>
      </c>
      <c r="D53" s="42" t="s">
        <v>202</v>
      </c>
      <c r="G53" s="24" t="s">
        <v>92</v>
      </c>
    </row>
    <row r="54" spans="1:4" ht="13.5" thickBot="1">
      <c r="A54" s="31">
        <v>50</v>
      </c>
      <c r="B54" s="291">
        <v>4</v>
      </c>
      <c r="C54" s="32">
        <v>12</v>
      </c>
      <c r="D54" s="33">
        <f>A54*B54*C54</f>
        <v>2400</v>
      </c>
    </row>
    <row r="57" spans="1:7" ht="55.5" customHeight="1" thickBot="1">
      <c r="A57" s="615" t="s">
        <v>345</v>
      </c>
      <c r="B57" s="615"/>
      <c r="C57" s="615"/>
      <c r="D57" s="615"/>
      <c r="E57" s="615"/>
      <c r="F57" s="615"/>
      <c r="G57" s="615"/>
    </row>
    <row r="58" spans="1:7" ht="25.5">
      <c r="A58" s="41" t="s">
        <v>199</v>
      </c>
      <c r="B58" s="28" t="s">
        <v>187</v>
      </c>
      <c r="C58" s="28" t="s">
        <v>188</v>
      </c>
      <c r="D58" s="28" t="s">
        <v>189</v>
      </c>
      <c r="E58" s="28" t="s">
        <v>190</v>
      </c>
      <c r="F58" s="28" t="s">
        <v>191</v>
      </c>
      <c r="G58" s="42" t="s">
        <v>192</v>
      </c>
    </row>
    <row r="59" spans="1:11" ht="12.75">
      <c r="A59" s="29">
        <f>M21</f>
        <v>9.5</v>
      </c>
      <c r="B59" s="26">
        <f>Q21</f>
        <v>12923.27</v>
      </c>
      <c r="C59" s="26">
        <f>R21</f>
        <v>1.0684379638716102</v>
      </c>
      <c r="D59" s="26">
        <v>8</v>
      </c>
      <c r="E59" s="26">
        <v>1</v>
      </c>
      <c r="F59" s="44">
        <f>ROUND((A59*B59*C59)*D59*E59,2)</f>
        <v>1049386.13</v>
      </c>
      <c r="G59" s="47">
        <f>ROUND(F59*30.2%,0)</f>
        <v>316915</v>
      </c>
      <c r="I59" s="43"/>
      <c r="K59" s="314"/>
    </row>
    <row r="60" spans="1:9" ht="12.75">
      <c r="A60" s="29">
        <f>M25</f>
        <v>9.5</v>
      </c>
      <c r="B60" s="26">
        <f>Q25</f>
        <v>12923.27</v>
      </c>
      <c r="C60" s="26">
        <f>R25</f>
        <v>1.0684379638716102</v>
      </c>
      <c r="D60" s="26">
        <v>4</v>
      </c>
      <c r="E60" s="26">
        <v>1</v>
      </c>
      <c r="F60" s="44">
        <f>ROUND((A60*B60*C60)*D60*E60,2)</f>
        <v>524693.07</v>
      </c>
      <c r="G60" s="47">
        <f>ROUND(F60*30.2%,0)</f>
        <v>158457</v>
      </c>
      <c r="I60" s="43"/>
    </row>
    <row r="61" spans="1:9" ht="12.75" hidden="1">
      <c r="A61" s="29">
        <f>M29</f>
        <v>0</v>
      </c>
      <c r="B61" s="26">
        <f>Q29</f>
        <v>0</v>
      </c>
      <c r="C61" s="26">
        <f>R29</f>
        <v>0</v>
      </c>
      <c r="D61" s="26"/>
      <c r="E61" s="26"/>
      <c r="F61" s="44">
        <f>ROUND((A61*B61*C61)*D61*E61,2)</f>
        <v>0</v>
      </c>
      <c r="G61" s="47"/>
      <c r="I61" s="43"/>
    </row>
    <row r="62" spans="1:11" ht="12.75" hidden="1">
      <c r="A62" s="29"/>
      <c r="B62" s="26"/>
      <c r="C62" s="315"/>
      <c r="D62" s="26"/>
      <c r="E62" s="26"/>
      <c r="F62" s="26"/>
      <c r="G62" s="30">
        <f>ROUND(F62*30.2%,0)</f>
        <v>0</v>
      </c>
      <c r="I62" s="43"/>
      <c r="K62" s="314"/>
    </row>
    <row r="63" spans="1:9" ht="12.75">
      <c r="A63" s="29"/>
      <c r="B63" s="26"/>
      <c r="C63" s="26"/>
      <c r="D63" s="26"/>
      <c r="E63" s="26"/>
      <c r="F63" s="26"/>
      <c r="G63" s="30"/>
      <c r="I63" s="43"/>
    </row>
    <row r="64" spans="1:10" ht="13.5" thickBot="1">
      <c r="A64" s="31" t="s">
        <v>193</v>
      </c>
      <c r="B64" s="32"/>
      <c r="C64" s="32"/>
      <c r="D64" s="32"/>
      <c r="E64" s="32"/>
      <c r="F64" s="45">
        <f>SUM(F59:F63)</f>
        <v>1574079.1999999997</v>
      </c>
      <c r="G64" s="193">
        <f>SUM(G59:G63)</f>
        <v>475372</v>
      </c>
      <c r="I64" s="43"/>
      <c r="J64" s="43"/>
    </row>
    <row r="65" ht="12.75">
      <c r="I65" s="43"/>
    </row>
    <row r="66" spans="1:9" ht="12.75">
      <c r="A66" s="183" t="s">
        <v>433</v>
      </c>
      <c r="B66" s="183"/>
      <c r="C66" s="183"/>
      <c r="D66" s="183"/>
      <c r="E66" s="184"/>
      <c r="F66" s="183"/>
      <c r="G66" s="185"/>
      <c r="I66" s="43"/>
    </row>
    <row r="67" spans="1:7" ht="12.75">
      <c r="A67" s="25"/>
      <c r="B67" s="25"/>
      <c r="C67" s="25"/>
      <c r="D67" s="25"/>
      <c r="E67" s="186"/>
      <c r="F67" s="25"/>
      <c r="G67" s="185"/>
    </row>
    <row r="68" spans="1:7" ht="12.75">
      <c r="A68" s="25"/>
      <c r="B68" s="25"/>
      <c r="C68" s="25"/>
      <c r="D68" s="25"/>
      <c r="E68" s="186"/>
      <c r="F68" s="25"/>
      <c r="G68" s="185"/>
    </row>
    <row r="69" spans="1:7" ht="12.75">
      <c r="A69" s="25" t="s">
        <v>434</v>
      </c>
      <c r="B69" s="25"/>
      <c r="C69" s="25"/>
      <c r="D69" s="25"/>
      <c r="E69" s="186"/>
      <c r="F69" s="25"/>
      <c r="G69" s="185"/>
    </row>
  </sheetData>
  <sheetProtection/>
  <mergeCells count="19">
    <mergeCell ref="A44:G44"/>
    <mergeCell ref="A24:G24"/>
    <mergeCell ref="A32:G32"/>
    <mergeCell ref="D12:E12"/>
    <mergeCell ref="D13:E13"/>
    <mergeCell ref="D14:E14"/>
    <mergeCell ref="D33:E33"/>
    <mergeCell ref="A16:G16"/>
    <mergeCell ref="C40:D40"/>
    <mergeCell ref="A57:G57"/>
    <mergeCell ref="F1:G1"/>
    <mergeCell ref="A2:G2"/>
    <mergeCell ref="F3:G3"/>
    <mergeCell ref="A4:G4"/>
    <mergeCell ref="D35:E35"/>
    <mergeCell ref="D36:E36"/>
    <mergeCell ref="A11:G11"/>
    <mergeCell ref="F41:G41"/>
    <mergeCell ref="A42:G42"/>
  </mergeCells>
  <printOptions/>
  <pageMargins left="0.5905511811023623" right="0" top="0.7480314960629921" bottom="0.7480314960629921" header="0.31496062992125984" footer="0.31496062992125984"/>
  <pageSetup horizontalDpi="600" verticalDpi="600" orientation="portrait" paperSize="9" r:id="rId3"/>
  <rowBreaks count="1" manualBreakCount="1">
    <brk id="40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D89"/>
  <sheetViews>
    <sheetView zoomScalePageLayoutView="0" workbookViewId="0" topLeftCell="A47">
      <selection activeCell="D69" sqref="D69"/>
    </sheetView>
  </sheetViews>
  <sheetFormatPr defaultColWidth="9.140625" defaultRowHeight="15"/>
  <cols>
    <col min="1" max="1" width="28.28125" style="25" customWidth="1"/>
    <col min="2" max="2" width="16.8515625" style="25" customWidth="1"/>
    <col min="3" max="4" width="12.8515625" style="25" customWidth="1"/>
    <col min="5" max="5" width="13.00390625" style="25" customWidth="1"/>
    <col min="6" max="6" width="11.7109375" style="25" customWidth="1"/>
    <col min="7" max="7" width="10.421875" style="25" customWidth="1"/>
    <col min="8" max="16384" width="9.140625" style="25" customWidth="1"/>
  </cols>
  <sheetData>
    <row r="1" spans="5:6" ht="12.75">
      <c r="E1" s="632" t="s">
        <v>203</v>
      </c>
      <c r="F1" s="632"/>
    </row>
    <row r="2" spans="1:6" ht="18.75">
      <c r="A2" s="633" t="s">
        <v>204</v>
      </c>
      <c r="B2" s="633"/>
      <c r="C2" s="633"/>
      <c r="D2" s="633"/>
      <c r="E2" s="633"/>
      <c r="F2" s="633"/>
    </row>
    <row r="3" spans="1:6" s="46" customFormat="1" ht="12.75">
      <c r="A3" s="177"/>
      <c r="B3" s="177"/>
      <c r="C3" s="177"/>
      <c r="D3" s="177"/>
      <c r="E3" s="177"/>
      <c r="F3" s="177"/>
    </row>
    <row r="4" spans="1:6" ht="13.5" thickBot="1">
      <c r="A4" s="177"/>
      <c r="B4" s="177"/>
      <c r="C4" s="177"/>
      <c r="D4" s="177"/>
      <c r="E4" s="177"/>
      <c r="F4" s="177"/>
    </row>
    <row r="5" spans="1:6" s="24" customFormat="1" ht="25.5">
      <c r="A5" s="41"/>
      <c r="B5" s="28" t="s">
        <v>205</v>
      </c>
      <c r="C5" s="28" t="s">
        <v>206</v>
      </c>
      <c r="D5" s="28" t="s">
        <v>189</v>
      </c>
      <c r="E5" s="28" t="s">
        <v>190</v>
      </c>
      <c r="F5" s="42" t="s">
        <v>207</v>
      </c>
    </row>
    <row r="6" spans="1:6" ht="12.75">
      <c r="A6" s="29" t="s">
        <v>208</v>
      </c>
      <c r="B6" s="427">
        <v>2794</v>
      </c>
      <c r="C6" s="178">
        <v>1</v>
      </c>
      <c r="D6" s="178">
        <v>6</v>
      </c>
      <c r="E6" s="178">
        <v>1</v>
      </c>
      <c r="F6" s="431">
        <f aca="true" t="shared" si="0" ref="F6:F11">ROUND(B6*C6*D6*E6,2)</f>
        <v>16764</v>
      </c>
    </row>
    <row r="7" spans="1:6" ht="15.75" customHeight="1" hidden="1">
      <c r="A7" s="29" t="s">
        <v>439</v>
      </c>
      <c r="B7" s="427">
        <v>0</v>
      </c>
      <c r="C7" s="178">
        <v>1</v>
      </c>
      <c r="D7" s="178">
        <v>1</v>
      </c>
      <c r="E7" s="178">
        <v>1</v>
      </c>
      <c r="F7" s="431">
        <f t="shared" si="0"/>
        <v>0</v>
      </c>
    </row>
    <row r="8" spans="1:6" ht="15.75" customHeight="1">
      <c r="A8" s="29" t="s">
        <v>208</v>
      </c>
      <c r="B8" s="427">
        <v>3124.2</v>
      </c>
      <c r="C8" s="178">
        <v>1</v>
      </c>
      <c r="D8" s="178">
        <v>6</v>
      </c>
      <c r="E8" s="178">
        <v>1</v>
      </c>
      <c r="F8" s="431">
        <f t="shared" si="0"/>
        <v>18745.2</v>
      </c>
    </row>
    <row r="9" spans="1:6" ht="12.75">
      <c r="A9" s="29" t="s">
        <v>209</v>
      </c>
      <c r="B9" s="427">
        <v>256.85</v>
      </c>
      <c r="C9" s="178">
        <v>1</v>
      </c>
      <c r="D9" s="178">
        <v>12</v>
      </c>
      <c r="E9" s="178">
        <v>1</v>
      </c>
      <c r="F9" s="431">
        <f t="shared" si="0"/>
        <v>3082.2</v>
      </c>
    </row>
    <row r="10" spans="1:6" ht="25.5" hidden="1">
      <c r="A10" s="29" t="s">
        <v>441</v>
      </c>
      <c r="B10" s="430">
        <v>0</v>
      </c>
      <c r="C10" s="178">
        <v>1</v>
      </c>
      <c r="D10" s="178">
        <v>1</v>
      </c>
      <c r="E10" s="178">
        <v>1</v>
      </c>
      <c r="F10" s="431">
        <f t="shared" si="0"/>
        <v>0</v>
      </c>
    </row>
    <row r="11" spans="1:6" ht="12.75">
      <c r="A11" s="29" t="s">
        <v>210</v>
      </c>
      <c r="B11" s="427">
        <v>857.3</v>
      </c>
      <c r="C11" s="178">
        <v>1</v>
      </c>
      <c r="D11" s="178">
        <v>12</v>
      </c>
      <c r="E11" s="178">
        <v>1</v>
      </c>
      <c r="F11" s="431">
        <f t="shared" si="0"/>
        <v>10287.6</v>
      </c>
    </row>
    <row r="12" spans="1:6" ht="25.5">
      <c r="A12" s="29" t="s">
        <v>211</v>
      </c>
      <c r="B12" s="427">
        <v>2832</v>
      </c>
      <c r="C12" s="178">
        <v>1</v>
      </c>
      <c r="D12" s="178">
        <v>12</v>
      </c>
      <c r="E12" s="178">
        <v>1</v>
      </c>
      <c r="F12" s="431">
        <f aca="true" t="shared" si="1" ref="F12:F26">ROUND(B12*C12*D12*E12,2)</f>
        <v>33984</v>
      </c>
    </row>
    <row r="13" spans="1:6" ht="25.5">
      <c r="A13" s="29" t="s">
        <v>460</v>
      </c>
      <c r="B13" s="427">
        <f>13050+772.88</f>
        <v>13822.88</v>
      </c>
      <c r="C13" s="178">
        <v>1</v>
      </c>
      <c r="D13" s="178">
        <v>1</v>
      </c>
      <c r="E13" s="178">
        <v>1</v>
      </c>
      <c r="F13" s="431">
        <f t="shared" si="1"/>
        <v>13822.88</v>
      </c>
    </row>
    <row r="14" spans="1:6" ht="12.75">
      <c r="A14" s="29" t="s">
        <v>332</v>
      </c>
      <c r="B14" s="427">
        <v>2912</v>
      </c>
      <c r="C14" s="178">
        <v>1</v>
      </c>
      <c r="D14" s="178">
        <v>8</v>
      </c>
      <c r="E14" s="178">
        <v>1</v>
      </c>
      <c r="F14" s="431">
        <f>ROUND(B14*C14*D14*E14,2)</f>
        <v>23296</v>
      </c>
    </row>
    <row r="15" spans="1:6" ht="25.5" hidden="1">
      <c r="A15" s="29" t="s">
        <v>477</v>
      </c>
      <c r="B15" s="427">
        <v>0</v>
      </c>
      <c r="C15" s="178">
        <v>1</v>
      </c>
      <c r="D15" s="178">
        <v>1</v>
      </c>
      <c r="E15" s="178">
        <v>1</v>
      </c>
      <c r="F15" s="431">
        <f t="shared" si="1"/>
        <v>0</v>
      </c>
    </row>
    <row r="16" spans="1:6" ht="12.75">
      <c r="A16" s="29" t="s">
        <v>213</v>
      </c>
      <c r="B16" s="427">
        <v>1000.1</v>
      </c>
      <c r="C16" s="178">
        <v>1</v>
      </c>
      <c r="D16" s="178">
        <v>12</v>
      </c>
      <c r="E16" s="178">
        <v>1</v>
      </c>
      <c r="F16" s="431">
        <f t="shared" si="1"/>
        <v>12001.2</v>
      </c>
    </row>
    <row r="17" spans="1:6" ht="12.75" hidden="1">
      <c r="A17" s="29" t="s">
        <v>453</v>
      </c>
      <c r="B17" s="178">
        <v>0</v>
      </c>
      <c r="C17" s="178">
        <v>1</v>
      </c>
      <c r="D17" s="178">
        <v>7</v>
      </c>
      <c r="E17" s="178">
        <v>1</v>
      </c>
      <c r="F17" s="431">
        <f>ROUND(B17*C17*D17*E17,2)</f>
        <v>0</v>
      </c>
    </row>
    <row r="18" spans="1:6" ht="25.5" hidden="1">
      <c r="A18" s="29" t="s">
        <v>455</v>
      </c>
      <c r="B18" s="178">
        <v>0</v>
      </c>
      <c r="C18" s="178">
        <v>1</v>
      </c>
      <c r="D18" s="178">
        <v>1</v>
      </c>
      <c r="E18" s="178">
        <v>1</v>
      </c>
      <c r="F18" s="431">
        <f>ROUND(B18*C18*D18*E18,2)</f>
        <v>0</v>
      </c>
    </row>
    <row r="19" spans="1:6" ht="25.5" hidden="1">
      <c r="A19" s="29" t="s">
        <v>214</v>
      </c>
      <c r="B19" s="178">
        <v>0</v>
      </c>
      <c r="C19" s="178">
        <v>1</v>
      </c>
      <c r="D19" s="178">
        <v>1</v>
      </c>
      <c r="E19" s="178">
        <v>1</v>
      </c>
      <c r="F19" s="431">
        <f>ROUND(B19*C19*D19*E19,2)</f>
        <v>0</v>
      </c>
    </row>
    <row r="20" spans="1:6" ht="12.75">
      <c r="A20" s="29" t="s">
        <v>213</v>
      </c>
      <c r="B20" s="427">
        <v>360</v>
      </c>
      <c r="C20" s="178">
        <v>1</v>
      </c>
      <c r="D20" s="178">
        <v>6</v>
      </c>
      <c r="E20" s="178">
        <v>1</v>
      </c>
      <c r="F20" s="431">
        <f>ROUND(B20*C20*D20*E20,2)</f>
        <v>2160</v>
      </c>
    </row>
    <row r="21" spans="1:6" ht="12.75">
      <c r="A21" s="282" t="s">
        <v>476</v>
      </c>
      <c r="B21" s="427">
        <v>2989</v>
      </c>
      <c r="C21" s="178">
        <v>1</v>
      </c>
      <c r="D21" s="178">
        <v>6</v>
      </c>
      <c r="E21" s="178">
        <v>1</v>
      </c>
      <c r="F21" s="431">
        <f>ROUND(B21*C21*D21*E21,2)</f>
        <v>17934</v>
      </c>
    </row>
    <row r="22" spans="1:6" ht="27" customHeight="1">
      <c r="A22" s="282" t="s">
        <v>215</v>
      </c>
      <c r="B22" s="427">
        <v>700</v>
      </c>
      <c r="C22" s="178">
        <v>1</v>
      </c>
      <c r="D22" s="178">
        <v>12</v>
      </c>
      <c r="E22" s="178">
        <v>1</v>
      </c>
      <c r="F22" s="431">
        <f t="shared" si="1"/>
        <v>8400</v>
      </c>
    </row>
    <row r="23" spans="1:6" ht="39.75" customHeight="1" hidden="1">
      <c r="A23" s="282" t="s">
        <v>440</v>
      </c>
      <c r="B23" s="427">
        <v>0</v>
      </c>
      <c r="C23" s="178">
        <v>1</v>
      </c>
      <c r="D23" s="178">
        <v>1</v>
      </c>
      <c r="E23" s="178">
        <v>1</v>
      </c>
      <c r="F23" s="431">
        <f t="shared" si="1"/>
        <v>0</v>
      </c>
    </row>
    <row r="24" spans="1:6" ht="12.75" hidden="1">
      <c r="A24" s="29" t="s">
        <v>452</v>
      </c>
      <c r="B24" s="427">
        <v>0</v>
      </c>
      <c r="C24" s="178">
        <v>1</v>
      </c>
      <c r="D24" s="178">
        <v>1</v>
      </c>
      <c r="E24" s="178">
        <v>1</v>
      </c>
      <c r="F24" s="431">
        <f t="shared" si="1"/>
        <v>0</v>
      </c>
    </row>
    <row r="25" spans="1:6" ht="12.75" hidden="1">
      <c r="A25" s="67" t="s">
        <v>456</v>
      </c>
      <c r="B25" s="427">
        <v>0</v>
      </c>
      <c r="C25" s="178">
        <v>1</v>
      </c>
      <c r="D25" s="178">
        <v>1</v>
      </c>
      <c r="E25" s="178">
        <v>1</v>
      </c>
      <c r="F25" s="431">
        <f t="shared" si="1"/>
        <v>0</v>
      </c>
    </row>
    <row r="26" spans="1:6" ht="12.75">
      <c r="A26" s="67" t="s">
        <v>452</v>
      </c>
      <c r="B26" s="428">
        <f>99000+30535.05+85464.95</f>
        <v>215000</v>
      </c>
      <c r="C26" s="182">
        <v>1</v>
      </c>
      <c r="D26" s="182">
        <v>1</v>
      </c>
      <c r="E26" s="182">
        <v>1</v>
      </c>
      <c r="F26" s="431">
        <f t="shared" si="1"/>
        <v>215000</v>
      </c>
    </row>
    <row r="27" spans="1:6" ht="18" customHeight="1" thickBot="1">
      <c r="A27" s="31" t="s">
        <v>331</v>
      </c>
      <c r="B27" s="429">
        <v>1605.26</v>
      </c>
      <c r="C27" s="180">
        <v>1</v>
      </c>
      <c r="D27" s="180">
        <v>12</v>
      </c>
      <c r="E27" s="180">
        <v>1</v>
      </c>
      <c r="F27" s="432">
        <f>ROUND(B27*C27*D27*E27,2)</f>
        <v>19263.12</v>
      </c>
    </row>
    <row r="28" spans="1:6" ht="26.25" hidden="1" thickBot="1">
      <c r="A28" s="31" t="s">
        <v>442</v>
      </c>
      <c r="B28" s="180">
        <v>0</v>
      </c>
      <c r="C28" s="180">
        <v>1</v>
      </c>
      <c r="D28" s="180">
        <v>1</v>
      </c>
      <c r="E28" s="180">
        <v>1</v>
      </c>
      <c r="F28" s="181">
        <f>ROUND(B28*C28*D28*E28,2)</f>
        <v>0</v>
      </c>
    </row>
    <row r="29" spans="1:6" ht="12.75">
      <c r="A29" s="49"/>
      <c r="B29" s="46"/>
      <c r="C29" s="46"/>
      <c r="D29" s="46"/>
      <c r="E29" s="46"/>
      <c r="F29" s="46"/>
    </row>
    <row r="30" spans="1:6" ht="12.75">
      <c r="A30" s="49"/>
      <c r="B30" s="46"/>
      <c r="C30" s="46"/>
      <c r="D30" s="46"/>
      <c r="E30" s="46"/>
      <c r="F30" s="46"/>
    </row>
    <row r="31" ht="32.25" customHeight="1">
      <c r="A31" s="24"/>
    </row>
    <row r="32" spans="1:6" ht="14.25">
      <c r="A32" s="634" t="s">
        <v>217</v>
      </c>
      <c r="B32" s="635"/>
      <c r="C32" s="635"/>
      <c r="D32" s="635"/>
      <c r="E32" s="635"/>
      <c r="F32" s="635"/>
    </row>
    <row r="33" ht="13.5" thickBot="1">
      <c r="A33" s="24"/>
    </row>
    <row r="34" spans="1:6" ht="25.5">
      <c r="A34" s="41"/>
      <c r="B34" s="28" t="s">
        <v>205</v>
      </c>
      <c r="C34" s="28" t="s">
        <v>206</v>
      </c>
      <c r="D34" s="28" t="s">
        <v>189</v>
      </c>
      <c r="E34" s="28" t="s">
        <v>190</v>
      </c>
      <c r="F34" s="42" t="s">
        <v>207</v>
      </c>
    </row>
    <row r="35" spans="1:6" ht="25.5">
      <c r="A35" s="29" t="s">
        <v>218</v>
      </c>
      <c r="B35" s="178">
        <v>238.36</v>
      </c>
      <c r="C35" s="178">
        <v>2</v>
      </c>
      <c r="D35" s="178">
        <v>2</v>
      </c>
      <c r="E35" s="178">
        <v>1</v>
      </c>
      <c r="F35" s="179">
        <f>ROUND(B35*C35*D35*E35,2)</f>
        <v>953.44</v>
      </c>
    </row>
    <row r="36" spans="1:6" ht="12.75">
      <c r="A36" s="29" t="s">
        <v>219</v>
      </c>
      <c r="B36" s="178">
        <v>0.47</v>
      </c>
      <c r="C36" s="178">
        <v>1422</v>
      </c>
      <c r="D36" s="178">
        <v>2</v>
      </c>
      <c r="E36" s="178">
        <v>1</v>
      </c>
      <c r="F36" s="179">
        <f>ROUND(B36*C36*D36*E36,2)</f>
        <v>1336.68</v>
      </c>
    </row>
    <row r="37" spans="1:6" ht="25.5" hidden="1">
      <c r="A37" s="29" t="s">
        <v>218</v>
      </c>
      <c r="B37" s="178">
        <v>0</v>
      </c>
      <c r="C37" s="178">
        <v>0</v>
      </c>
      <c r="D37" s="178">
        <v>0</v>
      </c>
      <c r="E37" s="178">
        <v>0</v>
      </c>
      <c r="F37" s="179">
        <f>ROUND(B37*C37*D37*E37,2)</f>
        <v>0</v>
      </c>
    </row>
    <row r="38" spans="1:6" ht="12.75" hidden="1">
      <c r="A38" s="29" t="s">
        <v>219</v>
      </c>
      <c r="B38" s="178">
        <v>0</v>
      </c>
      <c r="C38" s="178">
        <v>0</v>
      </c>
      <c r="D38" s="178">
        <v>0</v>
      </c>
      <c r="E38" s="178">
        <v>0</v>
      </c>
      <c r="F38" s="179">
        <f>ROUND(B38*C38*D38*E38,2)</f>
        <v>0</v>
      </c>
    </row>
    <row r="39" spans="1:6" ht="12.75" hidden="1">
      <c r="A39" s="29" t="s">
        <v>220</v>
      </c>
      <c r="B39" s="178"/>
      <c r="C39" s="178"/>
      <c r="D39" s="178"/>
      <c r="E39" s="178"/>
      <c r="F39" s="179">
        <f>ROUND(B39*C39*E39,2)</f>
        <v>0</v>
      </c>
    </row>
    <row r="40" spans="1:6" ht="25.5">
      <c r="A40" s="29" t="s">
        <v>218</v>
      </c>
      <c r="B40" s="178">
        <v>247.8</v>
      </c>
      <c r="C40" s="178">
        <v>2</v>
      </c>
      <c r="D40" s="178">
        <v>10</v>
      </c>
      <c r="E40" s="178">
        <v>1</v>
      </c>
      <c r="F40" s="179">
        <f>ROUND(B40*C40*D40*E40,2)</f>
        <v>4956</v>
      </c>
    </row>
    <row r="41" spans="1:6" ht="12.75">
      <c r="A41" s="29" t="s">
        <v>219</v>
      </c>
      <c r="B41" s="178">
        <v>0.52</v>
      </c>
      <c r="C41" s="178">
        <v>1097.092</v>
      </c>
      <c r="D41" s="178">
        <v>10</v>
      </c>
      <c r="E41" s="178">
        <v>1</v>
      </c>
      <c r="F41" s="179">
        <f>ROUND(B41*C41*D41*E41,2)</f>
        <v>5704.88</v>
      </c>
    </row>
    <row r="42" spans="1:6" ht="27" customHeight="1">
      <c r="A42" s="29" t="s">
        <v>193</v>
      </c>
      <c r="B42" s="178"/>
      <c r="C42" s="178"/>
      <c r="D42" s="178"/>
      <c r="E42" s="178"/>
      <c r="F42" s="179">
        <f>F35+F36+F40+F41</f>
        <v>12951</v>
      </c>
    </row>
    <row r="43" spans="1:6" ht="26.25" thickBot="1">
      <c r="A43" s="31" t="s">
        <v>221</v>
      </c>
      <c r="B43" s="180"/>
      <c r="C43" s="180"/>
      <c r="D43" s="180"/>
      <c r="E43" s="180"/>
      <c r="F43" s="181"/>
    </row>
    <row r="44" ht="12.75">
      <c r="A44" s="24"/>
    </row>
    <row r="46" spans="1:6" ht="18.75">
      <c r="A46" s="636" t="s">
        <v>222</v>
      </c>
      <c r="B46" s="637"/>
      <c r="C46" s="637"/>
      <c r="D46" s="637"/>
      <c r="E46" s="637"/>
      <c r="F46" s="637"/>
    </row>
    <row r="47" ht="13.5" thickBot="1"/>
    <row r="48" spans="1:6" ht="25.5">
      <c r="A48" s="41"/>
      <c r="B48" s="28" t="s">
        <v>205</v>
      </c>
      <c r="C48" s="28" t="s">
        <v>206</v>
      </c>
      <c r="D48" s="28" t="s">
        <v>189</v>
      </c>
      <c r="E48" s="28" t="s">
        <v>190</v>
      </c>
      <c r="F48" s="42" t="s">
        <v>207</v>
      </c>
    </row>
    <row r="49" spans="1:6" ht="12.75">
      <c r="A49" s="29" t="s">
        <v>480</v>
      </c>
      <c r="B49" s="427">
        <v>1200</v>
      </c>
      <c r="C49" s="178">
        <v>14</v>
      </c>
      <c r="D49" s="178">
        <v>1</v>
      </c>
      <c r="E49" s="178">
        <v>1</v>
      </c>
      <c r="F49" s="431">
        <f>ROUND(B49*C49*D49*E49,2)</f>
        <v>16800</v>
      </c>
    </row>
    <row r="50" spans="1:6" ht="12.75">
      <c r="A50" s="29" t="s">
        <v>481</v>
      </c>
      <c r="B50" s="427">
        <v>1430</v>
      </c>
      <c r="C50" s="178">
        <v>7</v>
      </c>
      <c r="D50" s="178">
        <v>1</v>
      </c>
      <c r="E50" s="178">
        <v>1</v>
      </c>
      <c r="F50" s="431">
        <f>ROUND(B50*C50*D50*E50,2)</f>
        <v>10010</v>
      </c>
    </row>
    <row r="51" spans="1:6" ht="12.75" hidden="1">
      <c r="A51" s="67"/>
      <c r="B51" s="428">
        <v>150</v>
      </c>
      <c r="C51" s="182">
        <v>35</v>
      </c>
      <c r="D51" s="182">
        <v>1</v>
      </c>
      <c r="E51" s="182">
        <v>1</v>
      </c>
      <c r="F51" s="431">
        <f>ROUND(B51*C51*D51*E51,2)</f>
        <v>5250</v>
      </c>
    </row>
    <row r="52" spans="1:6" ht="12.75" hidden="1">
      <c r="A52" s="67"/>
      <c r="B52" s="428"/>
      <c r="C52" s="182"/>
      <c r="D52" s="182"/>
      <c r="E52" s="182"/>
      <c r="F52" s="433"/>
    </row>
    <row r="53" spans="1:6" ht="12.75" hidden="1">
      <c r="A53" s="67"/>
      <c r="B53" s="428"/>
      <c r="C53" s="182"/>
      <c r="D53" s="182"/>
      <c r="E53" s="182"/>
      <c r="F53" s="433"/>
    </row>
    <row r="54" spans="1:6" ht="12.75" hidden="1">
      <c r="A54" s="67"/>
      <c r="B54" s="428"/>
      <c r="C54" s="182"/>
      <c r="D54" s="182"/>
      <c r="E54" s="182"/>
      <c r="F54" s="433"/>
    </row>
    <row r="55" spans="1:6" ht="12.75" hidden="1">
      <c r="A55" s="67"/>
      <c r="B55" s="428"/>
      <c r="C55" s="182"/>
      <c r="D55" s="182"/>
      <c r="E55" s="182"/>
      <c r="F55" s="433"/>
    </row>
    <row r="56" spans="1:6" ht="12.75" hidden="1">
      <c r="A56" s="67"/>
      <c r="B56" s="428"/>
      <c r="C56" s="182"/>
      <c r="D56" s="182"/>
      <c r="E56" s="182"/>
      <c r="F56" s="433"/>
    </row>
    <row r="57" spans="1:6" ht="12.75" hidden="1">
      <c r="A57" s="67"/>
      <c r="B57" s="428"/>
      <c r="C57" s="182"/>
      <c r="D57" s="182"/>
      <c r="E57" s="182"/>
      <c r="F57" s="433"/>
    </row>
    <row r="58" spans="1:6" ht="12.75" hidden="1">
      <c r="A58" s="67"/>
      <c r="B58" s="428"/>
      <c r="C58" s="182"/>
      <c r="D58" s="182"/>
      <c r="E58" s="182"/>
      <c r="F58" s="433"/>
    </row>
    <row r="59" spans="1:6" ht="12.75" hidden="1">
      <c r="A59" s="67"/>
      <c r="B59" s="428"/>
      <c r="C59" s="182"/>
      <c r="D59" s="182"/>
      <c r="E59" s="182"/>
      <c r="F59" s="433"/>
    </row>
    <row r="60" spans="1:6" ht="12.75" hidden="1">
      <c r="A60" s="67"/>
      <c r="B60" s="427">
        <v>0</v>
      </c>
      <c r="C60" s="178">
        <v>17</v>
      </c>
      <c r="D60" s="178">
        <v>1</v>
      </c>
      <c r="E60" s="178">
        <v>1</v>
      </c>
      <c r="F60" s="431">
        <f aca="true" t="shared" si="2" ref="F60:F66">ROUND(B60*C60*D60*E60,2)</f>
        <v>0</v>
      </c>
    </row>
    <row r="61" spans="1:6" ht="12.75" hidden="1">
      <c r="A61" s="67"/>
      <c r="B61" s="427">
        <v>0</v>
      </c>
      <c r="C61" s="178">
        <v>6</v>
      </c>
      <c r="D61" s="178">
        <v>1</v>
      </c>
      <c r="E61" s="178">
        <v>1</v>
      </c>
      <c r="F61" s="431">
        <f t="shared" si="2"/>
        <v>0</v>
      </c>
    </row>
    <row r="62" spans="1:6" ht="12.75">
      <c r="A62" s="67" t="s">
        <v>482</v>
      </c>
      <c r="B62" s="427">
        <v>150</v>
      </c>
      <c r="C62" s="178">
        <v>19</v>
      </c>
      <c r="D62" s="178">
        <v>1</v>
      </c>
      <c r="E62" s="178">
        <v>1</v>
      </c>
      <c r="F62" s="431">
        <f t="shared" si="2"/>
        <v>2850</v>
      </c>
    </row>
    <row r="63" spans="1:6" ht="12.75" hidden="1">
      <c r="A63" s="67"/>
      <c r="B63" s="427">
        <v>0</v>
      </c>
      <c r="C63" s="178">
        <v>13</v>
      </c>
      <c r="D63" s="178">
        <v>1</v>
      </c>
      <c r="E63" s="178">
        <v>1</v>
      </c>
      <c r="F63" s="431">
        <f t="shared" si="2"/>
        <v>0</v>
      </c>
    </row>
    <row r="64" spans="1:6" ht="12.75">
      <c r="A64" s="29" t="s">
        <v>483</v>
      </c>
      <c r="B64" s="427">
        <v>1100</v>
      </c>
      <c r="C64" s="178">
        <v>3</v>
      </c>
      <c r="D64" s="178">
        <v>1</v>
      </c>
      <c r="E64" s="178">
        <v>1</v>
      </c>
      <c r="F64" s="431">
        <f t="shared" si="2"/>
        <v>3300</v>
      </c>
    </row>
    <row r="65" spans="1:6" ht="12.75">
      <c r="A65" s="29" t="s">
        <v>484</v>
      </c>
      <c r="B65" s="427">
        <v>1330</v>
      </c>
      <c r="C65" s="178">
        <v>1</v>
      </c>
      <c r="D65" s="178">
        <v>1</v>
      </c>
      <c r="E65" s="178">
        <v>1</v>
      </c>
      <c r="F65" s="431">
        <f t="shared" si="2"/>
        <v>1330</v>
      </c>
    </row>
    <row r="66" spans="1:6" ht="12.75">
      <c r="A66" s="29" t="s">
        <v>485</v>
      </c>
      <c r="B66" s="427">
        <v>150</v>
      </c>
      <c r="C66" s="178">
        <v>28</v>
      </c>
      <c r="D66" s="178">
        <v>1</v>
      </c>
      <c r="E66" s="178">
        <v>1</v>
      </c>
      <c r="F66" s="431">
        <f t="shared" si="2"/>
        <v>4200</v>
      </c>
    </row>
    <row r="67" spans="1:6" ht="12.75">
      <c r="A67" s="29" t="s">
        <v>486</v>
      </c>
      <c r="B67" s="427"/>
      <c r="C67" s="178"/>
      <c r="D67" s="178"/>
      <c r="E67" s="178"/>
      <c r="F67" s="431">
        <v>68343</v>
      </c>
    </row>
    <row r="68" spans="1:6" ht="12.75">
      <c r="A68" s="29" t="s">
        <v>193</v>
      </c>
      <c r="B68" s="427"/>
      <c r="C68" s="178"/>
      <c r="D68" s="178"/>
      <c r="E68" s="178"/>
      <c r="F68" s="431">
        <f>F49+F50+F62+F64+F65+F66+F67</f>
        <v>106833</v>
      </c>
    </row>
    <row r="69" spans="1:6" ht="12.75">
      <c r="A69" s="29" t="s">
        <v>461</v>
      </c>
      <c r="B69" s="427">
        <v>7086.8</v>
      </c>
      <c r="C69" s="178">
        <v>1</v>
      </c>
      <c r="D69" s="178">
        <v>1</v>
      </c>
      <c r="E69" s="178">
        <v>1</v>
      </c>
      <c r="F69" s="431">
        <f>ROUND(B69*C69*D69*E69,2)</f>
        <v>7086.8</v>
      </c>
    </row>
    <row r="70" spans="1:6" ht="12.75" hidden="1">
      <c r="A70" s="29" t="s">
        <v>462</v>
      </c>
      <c r="B70" s="427">
        <v>0</v>
      </c>
      <c r="C70" s="178">
        <v>1</v>
      </c>
      <c r="D70" s="178">
        <v>1</v>
      </c>
      <c r="E70" s="178">
        <v>1</v>
      </c>
      <c r="F70" s="431">
        <f>ROUND(B70*C70*D70*E70,2)</f>
        <v>0</v>
      </c>
    </row>
    <row r="71" spans="1:6" ht="12.75">
      <c r="A71" s="29" t="s">
        <v>463</v>
      </c>
      <c r="B71" s="427">
        <v>6020</v>
      </c>
      <c r="C71" s="178">
        <v>1</v>
      </c>
      <c r="D71" s="178">
        <v>1</v>
      </c>
      <c r="E71" s="178">
        <v>1</v>
      </c>
      <c r="F71" s="431">
        <f>ROUND(B71*C71*D71*E71,2)</f>
        <v>6020</v>
      </c>
    </row>
    <row r="72" spans="1:6" ht="12.75">
      <c r="A72" s="386" t="s">
        <v>260</v>
      </c>
      <c r="B72" s="427">
        <v>2600</v>
      </c>
      <c r="C72" s="178">
        <v>1</v>
      </c>
      <c r="D72" s="178">
        <v>1</v>
      </c>
      <c r="E72" s="178">
        <v>1</v>
      </c>
      <c r="F72" s="431">
        <f>ROUND(B72*C72*D72*E72,2)</f>
        <v>2600</v>
      </c>
    </row>
    <row r="73" spans="1:6" ht="12.75">
      <c r="A73" s="26"/>
      <c r="B73" s="178"/>
      <c r="C73" s="178">
        <v>1</v>
      </c>
      <c r="D73" s="178">
        <v>1</v>
      </c>
      <c r="E73" s="178">
        <v>1</v>
      </c>
      <c r="F73" s="431">
        <f>ROUND(B73*C73*D73*E73,2)</f>
        <v>0</v>
      </c>
    </row>
    <row r="74" spans="1:6" ht="12.75">
      <c r="A74" s="638" t="s">
        <v>224</v>
      </c>
      <c r="B74" s="639"/>
      <c r="C74" s="639"/>
      <c r="D74" s="639"/>
      <c r="E74" s="639"/>
      <c r="F74" s="640"/>
    </row>
    <row r="75" spans="1:6" ht="12.75" hidden="1">
      <c r="A75" s="52"/>
      <c r="B75" s="178"/>
      <c r="C75" s="178"/>
      <c r="D75" s="178"/>
      <c r="E75" s="178"/>
      <c r="F75" s="179"/>
    </row>
    <row r="76" spans="1:6" ht="12.75" hidden="1">
      <c r="A76" s="52"/>
      <c r="B76" s="178"/>
      <c r="C76" s="178"/>
      <c r="D76" s="178"/>
      <c r="E76" s="178"/>
      <c r="F76" s="179"/>
    </row>
    <row r="77" spans="1:6" ht="12.75" hidden="1">
      <c r="A77" s="52"/>
      <c r="B77" s="178"/>
      <c r="C77" s="178" t="s">
        <v>92</v>
      </c>
      <c r="D77" s="178"/>
      <c r="E77" s="178"/>
      <c r="F77" s="179"/>
    </row>
    <row r="78" spans="1:6" ht="12.75" hidden="1">
      <c r="A78" s="52"/>
      <c r="B78" s="178"/>
      <c r="C78" s="178"/>
      <c r="D78" s="178"/>
      <c r="E78" s="178"/>
      <c r="F78" s="179"/>
    </row>
    <row r="79" spans="1:6" ht="12.75" hidden="1">
      <c r="A79" s="52"/>
      <c r="B79" s="178"/>
      <c r="C79" s="178"/>
      <c r="D79" s="178"/>
      <c r="E79" s="178"/>
      <c r="F79" s="179"/>
    </row>
    <row r="80" spans="1:6" ht="12.75">
      <c r="A80" s="52"/>
      <c r="B80" s="178"/>
      <c r="C80" s="178"/>
      <c r="D80" s="178"/>
      <c r="E80" s="178"/>
      <c r="F80" s="179"/>
    </row>
    <row r="81" spans="1:6" ht="12.75" customHeight="1">
      <c r="A81" s="29" t="s">
        <v>333</v>
      </c>
      <c r="B81" s="178"/>
      <c r="C81" s="178"/>
      <c r="D81" s="178"/>
      <c r="E81" s="178"/>
      <c r="F81" s="283">
        <v>0</v>
      </c>
    </row>
    <row r="82" spans="1:6" ht="10.5" customHeight="1">
      <c r="A82" s="52"/>
      <c r="B82" s="178"/>
      <c r="C82" s="178"/>
      <c r="D82" s="178"/>
      <c r="E82" s="178"/>
      <c r="F82" s="179"/>
    </row>
    <row r="83" spans="1:6" ht="12.75" hidden="1">
      <c r="A83" s="52"/>
      <c r="B83" s="178"/>
      <c r="C83" s="178"/>
      <c r="D83" s="178"/>
      <c r="E83" s="178"/>
      <c r="F83" s="179"/>
    </row>
    <row r="84" spans="1:6" ht="13.5" thickBot="1">
      <c r="A84" s="53" t="s">
        <v>193</v>
      </c>
      <c r="B84" s="180"/>
      <c r="C84" s="180"/>
      <c r="D84" s="180"/>
      <c r="E84" s="180"/>
      <c r="F84" s="181">
        <f>SUM(F75:F83)</f>
        <v>0</v>
      </c>
    </row>
    <row r="85" ht="10.5" customHeight="1"/>
    <row r="86" spans="7:82" ht="12.75"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  <c r="AQ86" s="185"/>
      <c r="AR86" s="185"/>
      <c r="AS86" s="185"/>
      <c r="AT86" s="185"/>
      <c r="AU86" s="185"/>
      <c r="AV86" s="185"/>
      <c r="AW86" s="185"/>
      <c r="AX86" s="185"/>
      <c r="AY86" s="185"/>
      <c r="AZ86" s="185"/>
      <c r="BA86" s="185"/>
      <c r="BB86" s="185"/>
      <c r="BC86" s="185"/>
      <c r="BD86" s="185"/>
      <c r="BE86" s="185"/>
      <c r="BF86" s="185"/>
      <c r="BG86" s="185"/>
      <c r="BH86" s="185"/>
      <c r="BI86" s="185"/>
      <c r="BJ86" s="185"/>
      <c r="BK86" s="185"/>
      <c r="BL86" s="185"/>
      <c r="BM86" s="185"/>
      <c r="BN86" s="185"/>
      <c r="BO86" s="185"/>
      <c r="BP86" s="185"/>
      <c r="BQ86" s="185"/>
      <c r="BR86" s="185"/>
      <c r="BS86" s="185"/>
      <c r="BT86" s="185"/>
      <c r="BU86" s="185"/>
      <c r="BV86" s="185"/>
      <c r="BW86" s="185"/>
      <c r="BX86" s="185"/>
      <c r="BY86" s="185"/>
      <c r="BZ86" s="185"/>
      <c r="CA86" s="185"/>
      <c r="CB86" s="185"/>
      <c r="CC86" s="185"/>
      <c r="CD86" s="185"/>
    </row>
    <row r="87" spans="1:82" ht="12.75">
      <c r="A87" s="183" t="s">
        <v>443</v>
      </c>
      <c r="B87" s="183"/>
      <c r="C87" s="183"/>
      <c r="D87" s="183"/>
      <c r="E87" s="184"/>
      <c r="F87" s="183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  <c r="AK87" s="185"/>
      <c r="AL87" s="185"/>
      <c r="AM87" s="185"/>
      <c r="AN87" s="185"/>
      <c r="AO87" s="185"/>
      <c r="AP87" s="185"/>
      <c r="AQ87" s="185"/>
      <c r="AR87" s="185"/>
      <c r="AS87" s="185"/>
      <c r="AT87" s="185"/>
      <c r="AU87" s="185"/>
      <c r="AV87" s="185"/>
      <c r="AW87" s="185"/>
      <c r="AX87" s="185"/>
      <c r="AY87" s="185"/>
      <c r="AZ87" s="185"/>
      <c r="BA87" s="185"/>
      <c r="BB87" s="185"/>
      <c r="BC87" s="185"/>
      <c r="BD87" s="185"/>
      <c r="BE87" s="185"/>
      <c r="BF87" s="185"/>
      <c r="BG87" s="185"/>
      <c r="BH87" s="185"/>
      <c r="BI87" s="185"/>
      <c r="BJ87" s="185"/>
      <c r="BK87" s="185"/>
      <c r="BL87" s="185"/>
      <c r="BM87" s="185"/>
      <c r="BN87" s="185"/>
      <c r="BO87" s="185"/>
      <c r="BP87" s="185"/>
      <c r="BQ87" s="185"/>
      <c r="BR87" s="185"/>
      <c r="BS87" s="185"/>
      <c r="BT87" s="185"/>
      <c r="BU87" s="185"/>
      <c r="BV87" s="185"/>
      <c r="BW87" s="185"/>
      <c r="BX87" s="185"/>
      <c r="BY87" s="185"/>
      <c r="BZ87" s="185"/>
      <c r="CA87" s="185"/>
      <c r="CB87" s="185"/>
      <c r="CC87" s="185"/>
      <c r="CD87" s="185"/>
    </row>
    <row r="88" spans="5:82" ht="12.75">
      <c r="E88" s="186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  <c r="AH88" s="185"/>
      <c r="AI88" s="185"/>
      <c r="AJ88" s="185"/>
      <c r="AK88" s="185"/>
      <c r="AL88" s="185"/>
      <c r="AM88" s="185"/>
      <c r="AN88" s="185"/>
      <c r="AO88" s="185"/>
      <c r="AP88" s="185"/>
      <c r="AQ88" s="185"/>
      <c r="AR88" s="185"/>
      <c r="AS88" s="185"/>
      <c r="AT88" s="185"/>
      <c r="AU88" s="185"/>
      <c r="AV88" s="185"/>
      <c r="AW88" s="185"/>
      <c r="AX88" s="185"/>
      <c r="AY88" s="185"/>
      <c r="AZ88" s="185"/>
      <c r="BA88" s="185"/>
      <c r="BB88" s="185"/>
      <c r="BC88" s="185"/>
      <c r="BD88" s="185"/>
      <c r="BE88" s="185"/>
      <c r="BF88" s="185"/>
      <c r="BG88" s="185"/>
      <c r="BH88" s="185"/>
      <c r="BI88" s="185"/>
      <c r="BJ88" s="185"/>
      <c r="BK88" s="185"/>
      <c r="BL88" s="185"/>
      <c r="BM88" s="185"/>
      <c r="BN88" s="185"/>
      <c r="BO88" s="185"/>
      <c r="BP88" s="185"/>
      <c r="BQ88" s="185"/>
      <c r="BR88" s="185"/>
      <c r="BS88" s="185"/>
      <c r="BT88" s="185"/>
      <c r="BU88" s="185"/>
      <c r="BV88" s="185"/>
      <c r="BW88" s="185"/>
      <c r="BX88" s="185"/>
      <c r="BY88" s="185"/>
      <c r="BZ88" s="185"/>
      <c r="CA88" s="185"/>
      <c r="CB88" s="185"/>
      <c r="CC88" s="185"/>
      <c r="CD88" s="185"/>
    </row>
    <row r="89" spans="1:82" ht="12.75">
      <c r="A89" s="25" t="s">
        <v>432</v>
      </c>
      <c r="E89" s="186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  <c r="AF89" s="185"/>
      <c r="AG89" s="185"/>
      <c r="AH89" s="185"/>
      <c r="AI89" s="185"/>
      <c r="AJ89" s="185"/>
      <c r="AK89" s="185"/>
      <c r="AL89" s="185"/>
      <c r="AM89" s="185"/>
      <c r="AN89" s="185"/>
      <c r="AO89" s="185"/>
      <c r="AP89" s="185"/>
      <c r="AQ89" s="185"/>
      <c r="AR89" s="185"/>
      <c r="AS89" s="185"/>
      <c r="AT89" s="185"/>
      <c r="AU89" s="185"/>
      <c r="AV89" s="185"/>
      <c r="AW89" s="185"/>
      <c r="AX89" s="185"/>
      <c r="AY89" s="185"/>
      <c r="AZ89" s="185"/>
      <c r="BA89" s="185"/>
      <c r="BB89" s="185"/>
      <c r="BC89" s="185"/>
      <c r="BD89" s="185"/>
      <c r="BE89" s="185"/>
      <c r="BF89" s="185"/>
      <c r="BG89" s="185"/>
      <c r="BH89" s="185"/>
      <c r="BI89" s="185"/>
      <c r="BJ89" s="185"/>
      <c r="BK89" s="185"/>
      <c r="BL89" s="185"/>
      <c r="BM89" s="185"/>
      <c r="BN89" s="185"/>
      <c r="BO89" s="185"/>
      <c r="BP89" s="185"/>
      <c r="BQ89" s="185"/>
      <c r="BR89" s="185"/>
      <c r="BS89" s="185"/>
      <c r="BT89" s="185"/>
      <c r="BU89" s="185"/>
      <c r="BV89" s="185"/>
      <c r="BW89" s="185"/>
      <c r="BX89" s="185"/>
      <c r="BY89" s="185"/>
      <c r="BZ89" s="185"/>
      <c r="CA89" s="185"/>
      <c r="CB89" s="185"/>
      <c r="CC89" s="185"/>
      <c r="CD89" s="185"/>
    </row>
  </sheetData>
  <sheetProtection/>
  <mergeCells count="5">
    <mergeCell ref="E1:F1"/>
    <mergeCell ref="A2:F2"/>
    <mergeCell ref="A32:F32"/>
    <mergeCell ref="A46:F46"/>
    <mergeCell ref="A74:F74"/>
  </mergeCells>
  <printOptions/>
  <pageMargins left="0" right="0" top="0.29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D53"/>
  <sheetViews>
    <sheetView zoomScalePageLayoutView="0" workbookViewId="0" topLeftCell="A1">
      <selection activeCell="C37" sqref="C37"/>
    </sheetView>
  </sheetViews>
  <sheetFormatPr defaultColWidth="9.140625" defaultRowHeight="15"/>
  <cols>
    <col min="1" max="1" width="23.421875" style="20" customWidth="1"/>
    <col min="2" max="2" width="16.8515625" style="20" customWidth="1"/>
    <col min="3" max="4" width="12.8515625" style="20" customWidth="1"/>
    <col min="5" max="5" width="13.00390625" style="20" customWidth="1"/>
    <col min="6" max="6" width="12.00390625" style="20" customWidth="1"/>
    <col min="7" max="16384" width="9.140625" style="20" customWidth="1"/>
  </cols>
  <sheetData>
    <row r="1" spans="5:6" ht="12.75">
      <c r="E1" s="641" t="s">
        <v>225</v>
      </c>
      <c r="F1" s="641"/>
    </row>
    <row r="2" spans="1:6" ht="18.75">
      <c r="A2" s="633" t="s">
        <v>226</v>
      </c>
      <c r="B2" s="633"/>
      <c r="C2" s="633"/>
      <c r="D2" s="633"/>
      <c r="E2" s="633"/>
      <c r="F2" s="633"/>
    </row>
    <row r="3" spans="1:6" s="56" customFormat="1" ht="12.75">
      <c r="A3" s="55"/>
      <c r="B3" s="55"/>
      <c r="C3" s="55"/>
      <c r="D3" s="55"/>
      <c r="E3" s="55"/>
      <c r="F3" s="55"/>
    </row>
    <row r="4" spans="1:6" ht="13.5" thickBot="1">
      <c r="A4" s="55"/>
      <c r="B4" s="55"/>
      <c r="C4" s="55"/>
      <c r="D4" s="55"/>
      <c r="E4" s="55"/>
      <c r="F4" s="55"/>
    </row>
    <row r="5" spans="1:6" s="19" customFormat="1" ht="25.5">
      <c r="A5" s="57"/>
      <c r="B5" s="58" t="s">
        <v>205</v>
      </c>
      <c r="C5" s="58" t="s">
        <v>206</v>
      </c>
      <c r="D5" s="58" t="s">
        <v>189</v>
      </c>
      <c r="E5" s="28" t="s">
        <v>190</v>
      </c>
      <c r="F5" s="59" t="s">
        <v>207</v>
      </c>
    </row>
    <row r="6" spans="1:6" ht="12.75">
      <c r="A6" s="70" t="s">
        <v>227</v>
      </c>
      <c r="B6" s="60"/>
      <c r="C6" s="60"/>
      <c r="D6" s="60"/>
      <c r="E6" s="60"/>
      <c r="F6" s="61">
        <f>ROUND(B6*C6*D6*E6,2)</f>
        <v>0</v>
      </c>
    </row>
    <row r="7" spans="1:6" ht="12.75">
      <c r="A7" s="70" t="s">
        <v>228</v>
      </c>
      <c r="B7" s="60"/>
      <c r="C7" s="60"/>
      <c r="D7" s="60"/>
      <c r="E7" s="60"/>
      <c r="F7" s="61"/>
    </row>
    <row r="8" spans="1:6" ht="12.75" hidden="1">
      <c r="A8" s="29" t="s">
        <v>210</v>
      </c>
      <c r="B8" s="60"/>
      <c r="C8" s="60">
        <v>1</v>
      </c>
      <c r="D8" s="60">
        <v>1</v>
      </c>
      <c r="E8" s="60">
        <v>1.065</v>
      </c>
      <c r="F8" s="61">
        <f>ROUND(B8*C8*D8*E8,2)</f>
        <v>0</v>
      </c>
    </row>
    <row r="9" spans="1:6" ht="25.5" hidden="1">
      <c r="A9" s="29" t="s">
        <v>211</v>
      </c>
      <c r="B9" s="60"/>
      <c r="C9" s="60">
        <v>1</v>
      </c>
      <c r="D9" s="60">
        <v>12</v>
      </c>
      <c r="E9" s="60">
        <v>1</v>
      </c>
      <c r="F9" s="61">
        <f>ROUND(B9*C9*D9*E9,2)</f>
        <v>0</v>
      </c>
    </row>
    <row r="10" spans="1:6" ht="12.75" hidden="1">
      <c r="A10" s="62" t="s">
        <v>229</v>
      </c>
      <c r="B10" s="60"/>
      <c r="C10" s="60"/>
      <c r="D10" s="60"/>
      <c r="E10" s="60"/>
      <c r="F10" s="61">
        <f>SUM(F6:F9)</f>
        <v>0</v>
      </c>
    </row>
    <row r="11" spans="1:6" ht="12.75" hidden="1">
      <c r="A11" s="62" t="s">
        <v>213</v>
      </c>
      <c r="B11" s="60"/>
      <c r="C11" s="60">
        <v>1</v>
      </c>
      <c r="D11" s="60">
        <v>12</v>
      </c>
      <c r="E11" s="60">
        <v>1.065</v>
      </c>
      <c r="F11" s="61">
        <f>ROUND(B11*C11*D11*E11,2)</f>
        <v>0</v>
      </c>
    </row>
    <row r="12" spans="1:6" ht="38.25" hidden="1">
      <c r="A12" s="62" t="s">
        <v>214</v>
      </c>
      <c r="B12" s="60"/>
      <c r="C12" s="60">
        <v>1</v>
      </c>
      <c r="D12" s="60">
        <v>1</v>
      </c>
      <c r="E12" s="60">
        <v>1</v>
      </c>
      <c r="F12" s="61">
        <f>ROUND(B12*C12*D12*E12,2)</f>
        <v>0</v>
      </c>
    </row>
    <row r="13" spans="1:6" ht="12.75" hidden="1">
      <c r="A13" s="62"/>
      <c r="B13" s="60"/>
      <c r="C13" s="60"/>
      <c r="D13" s="60"/>
      <c r="E13" s="60"/>
      <c r="F13" s="61"/>
    </row>
    <row r="14" spans="1:6" ht="12.75" hidden="1">
      <c r="A14" s="62"/>
      <c r="B14" s="60"/>
      <c r="C14" s="60"/>
      <c r="D14" s="60"/>
      <c r="E14" s="60"/>
      <c r="F14" s="61"/>
    </row>
    <row r="15" spans="1:6" ht="12.75" hidden="1">
      <c r="A15" s="62"/>
      <c r="B15" s="60"/>
      <c r="C15" s="60"/>
      <c r="D15" s="60"/>
      <c r="E15" s="60"/>
      <c r="F15" s="61"/>
    </row>
    <row r="16" spans="1:6" ht="12.75" hidden="1">
      <c r="A16" s="62"/>
      <c r="B16" s="60"/>
      <c r="C16" s="60"/>
      <c r="D16" s="60"/>
      <c r="E16" s="60"/>
      <c r="F16" s="61"/>
    </row>
    <row r="17" spans="1:6" ht="12.75" hidden="1">
      <c r="A17" s="62"/>
      <c r="B17" s="60"/>
      <c r="C17" s="60"/>
      <c r="D17" s="60"/>
      <c r="E17" s="60"/>
      <c r="F17" s="61"/>
    </row>
    <row r="18" spans="1:6" ht="12.75" hidden="1">
      <c r="A18" s="62"/>
      <c r="B18" s="60"/>
      <c r="C18" s="60"/>
      <c r="D18" s="60"/>
      <c r="E18" s="60"/>
      <c r="F18" s="61"/>
    </row>
    <row r="19" spans="1:6" ht="12.75" hidden="1">
      <c r="A19" s="62"/>
      <c r="B19" s="60"/>
      <c r="C19" s="60"/>
      <c r="D19" s="60"/>
      <c r="E19" s="60"/>
      <c r="F19" s="61"/>
    </row>
    <row r="20" spans="1:6" ht="12.75" hidden="1">
      <c r="A20" s="62"/>
      <c r="B20" s="60"/>
      <c r="C20" s="60"/>
      <c r="D20" s="60"/>
      <c r="E20" s="60"/>
      <c r="F20" s="61"/>
    </row>
    <row r="21" spans="1:6" ht="12.75" hidden="1">
      <c r="A21" s="62"/>
      <c r="B21" s="60"/>
      <c r="C21" s="60"/>
      <c r="D21" s="60"/>
      <c r="E21" s="60"/>
      <c r="F21" s="61"/>
    </row>
    <row r="22" spans="1:6" ht="13.5" thickBot="1">
      <c r="A22" s="63"/>
      <c r="B22" s="64"/>
      <c r="C22" s="64"/>
      <c r="D22" s="64"/>
      <c r="E22" s="64"/>
      <c r="F22" s="65"/>
    </row>
    <row r="23" spans="1:6" ht="32.25" customHeight="1">
      <c r="A23" s="633" t="s">
        <v>230</v>
      </c>
      <c r="B23" s="642"/>
      <c r="C23" s="642"/>
      <c r="D23" s="642"/>
      <c r="E23" s="642"/>
      <c r="F23" s="642"/>
    </row>
    <row r="24" ht="13.5" thickBot="1">
      <c r="A24" s="19"/>
    </row>
    <row r="25" spans="1:6" ht="25.5">
      <c r="A25" s="57"/>
      <c r="B25" s="58" t="s">
        <v>205</v>
      </c>
      <c r="C25" s="58" t="s">
        <v>206</v>
      </c>
      <c r="D25" s="58" t="s">
        <v>189</v>
      </c>
      <c r="E25" s="28" t="s">
        <v>190</v>
      </c>
      <c r="F25" s="59" t="s">
        <v>207</v>
      </c>
    </row>
    <row r="26" spans="1:6" ht="12.75">
      <c r="A26" s="70" t="s">
        <v>231</v>
      </c>
      <c r="B26" s="60"/>
      <c r="C26" s="60"/>
      <c r="D26" s="60"/>
      <c r="E26" s="60"/>
      <c r="F26" s="61">
        <f>ROUND(B26*C26*D26*E26,2)</f>
        <v>0</v>
      </c>
    </row>
    <row r="27" spans="1:6" ht="12.75">
      <c r="A27" s="70" t="s">
        <v>232</v>
      </c>
      <c r="B27" s="60"/>
      <c r="C27" s="60"/>
      <c r="D27" s="60"/>
      <c r="E27" s="60"/>
      <c r="F27" s="61"/>
    </row>
    <row r="28" spans="1:6" ht="12.75">
      <c r="A28" s="70" t="s">
        <v>233</v>
      </c>
      <c r="B28" s="60"/>
      <c r="C28" s="60"/>
      <c r="D28" s="60"/>
      <c r="E28" s="60"/>
      <c r="F28" s="61">
        <f>ROUND(B28*C28*D28*E28,2)</f>
        <v>0</v>
      </c>
    </row>
    <row r="29" spans="1:6" ht="13.5" thickBot="1">
      <c r="A29" s="31" t="s">
        <v>193</v>
      </c>
      <c r="B29" s="64"/>
      <c r="C29" s="64"/>
      <c r="D29" s="64"/>
      <c r="E29" s="64"/>
      <c r="F29" s="65">
        <f>F26+F27+F28</f>
        <v>0</v>
      </c>
    </row>
    <row r="30" ht="12.75">
      <c r="A30" s="19"/>
    </row>
    <row r="31" ht="12.75">
      <c r="A31" s="19"/>
    </row>
    <row r="32" spans="1:6" ht="37.5" customHeight="1">
      <c r="A32" s="643" t="s">
        <v>234</v>
      </c>
      <c r="B32" s="644"/>
      <c r="C32" s="644"/>
      <c r="D32" s="644"/>
      <c r="E32" s="644"/>
      <c r="F32" s="645"/>
    </row>
    <row r="33" ht="12.75">
      <c r="A33" s="71"/>
    </row>
    <row r="34" ht="13.5" thickBot="1">
      <c r="A34" s="71"/>
    </row>
    <row r="35" spans="1:6" ht="51">
      <c r="A35" s="72"/>
      <c r="B35" s="58" t="s">
        <v>235</v>
      </c>
      <c r="C35" s="58" t="s">
        <v>236</v>
      </c>
      <c r="D35" s="58"/>
      <c r="E35" s="58"/>
      <c r="F35" s="59" t="s">
        <v>237</v>
      </c>
    </row>
    <row r="36" spans="1:6" ht="12.75">
      <c r="A36" s="70" t="s">
        <v>238</v>
      </c>
      <c r="B36" s="60"/>
      <c r="C36" s="60">
        <v>1</v>
      </c>
      <c r="D36" s="60"/>
      <c r="E36" s="60"/>
      <c r="F36" s="61">
        <f>ROUND(B36*C36,2)</f>
        <v>0</v>
      </c>
    </row>
    <row r="37" spans="1:6" ht="13.5" thickBot="1">
      <c r="A37" s="53"/>
      <c r="B37" s="64"/>
      <c r="C37" s="64"/>
      <c r="D37" s="64"/>
      <c r="E37" s="64"/>
      <c r="F37" s="65">
        <f>ROUND(B37*C37*D37*E37,2)</f>
        <v>0</v>
      </c>
    </row>
    <row r="40" spans="1:6" ht="18.75">
      <c r="A40" s="636" t="s">
        <v>239</v>
      </c>
      <c r="B40" s="637"/>
      <c r="C40" s="637"/>
      <c r="D40" s="637"/>
      <c r="E40" s="637"/>
      <c r="F40" s="637"/>
    </row>
    <row r="41" ht="13.5" thickBot="1"/>
    <row r="42" spans="1:6" ht="25.5">
      <c r="A42" s="57"/>
      <c r="B42" s="58" t="s">
        <v>205</v>
      </c>
      <c r="C42" s="58" t="s">
        <v>206</v>
      </c>
      <c r="D42" s="58" t="s">
        <v>189</v>
      </c>
      <c r="E42" s="28" t="s">
        <v>190</v>
      </c>
      <c r="F42" s="59" t="s">
        <v>207</v>
      </c>
    </row>
    <row r="43" spans="1:6" ht="12.75">
      <c r="A43" s="29"/>
      <c r="B43" s="60"/>
      <c r="C43" s="60"/>
      <c r="D43" s="60"/>
      <c r="E43" s="60"/>
      <c r="F43" s="61">
        <f>ROUND(B43*C43*D43*E43,2)</f>
        <v>0</v>
      </c>
    </row>
    <row r="44" spans="1:6" ht="12.75">
      <c r="A44" s="29"/>
      <c r="B44" s="60"/>
      <c r="C44" s="60"/>
      <c r="D44" s="60"/>
      <c r="E44" s="60"/>
      <c r="F44" s="61">
        <f>ROUND(B44*C44*D44*E44,2)</f>
        <v>0</v>
      </c>
    </row>
    <row r="45" spans="1:6" ht="13.5" thickBot="1">
      <c r="A45" s="31"/>
      <c r="B45" s="64"/>
      <c r="C45" s="64"/>
      <c r="D45" s="64"/>
      <c r="E45" s="64"/>
      <c r="F45" s="65">
        <f>ROUND(B45*C45*D45*E45,2)</f>
        <v>0</v>
      </c>
    </row>
    <row r="49" spans="1:82" s="38" customFormat="1" ht="12.75">
      <c r="A49" s="34" t="s">
        <v>444</v>
      </c>
      <c r="B49" s="35"/>
      <c r="C49" s="35"/>
      <c r="D49" s="35"/>
      <c r="E49" s="36"/>
      <c r="F49" s="34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</row>
    <row r="50" spans="5:82" s="38" customFormat="1" ht="12.75">
      <c r="E50" s="39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</row>
    <row r="51" spans="5:82" s="38" customFormat="1" ht="12.75">
      <c r="E51" s="39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</row>
    <row r="52" spans="1:82" s="38" customFormat="1" ht="12.75">
      <c r="A52" s="20" t="s">
        <v>176</v>
      </c>
      <c r="C52" s="646" t="s">
        <v>445</v>
      </c>
      <c r="D52" s="646"/>
      <c r="E52" s="40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</row>
    <row r="53" spans="7:82" s="38" customFormat="1" ht="12.75"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</row>
  </sheetData>
  <sheetProtection/>
  <mergeCells count="6">
    <mergeCell ref="E1:F1"/>
    <mergeCell ref="A2:F2"/>
    <mergeCell ref="A23:F23"/>
    <mergeCell ref="A32:F32"/>
    <mergeCell ref="A40:F40"/>
    <mergeCell ref="C52:D52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C27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27.7109375" style="71" customWidth="1"/>
    <col min="2" max="2" width="10.00390625" style="71" customWidth="1"/>
    <col min="3" max="3" width="11.8515625" style="20" customWidth="1"/>
    <col min="4" max="4" width="13.57421875" style="20" customWidth="1"/>
    <col min="5" max="5" width="13.421875" style="20" customWidth="1"/>
    <col min="6" max="6" width="15.421875" style="20" customWidth="1"/>
    <col min="7" max="16384" width="9.140625" style="20" customWidth="1"/>
  </cols>
  <sheetData>
    <row r="1" ht="12.75">
      <c r="F1" s="54"/>
    </row>
    <row r="2" spans="1:6" ht="15">
      <c r="A2" s="647" t="s">
        <v>240</v>
      </c>
      <c r="B2" s="647"/>
      <c r="C2" s="647"/>
      <c r="D2" s="647"/>
      <c r="E2" s="647"/>
      <c r="F2" s="647"/>
    </row>
    <row r="4" ht="13.5" thickBot="1"/>
    <row r="5" spans="1:6" s="19" customFormat="1" ht="63.75">
      <c r="A5" s="72"/>
      <c r="B5" s="73" t="s">
        <v>241</v>
      </c>
      <c r="C5" s="58" t="s">
        <v>236</v>
      </c>
      <c r="D5" s="58" t="s">
        <v>242</v>
      </c>
      <c r="E5" s="58" t="s">
        <v>190</v>
      </c>
      <c r="F5" s="59" t="s">
        <v>243</v>
      </c>
    </row>
    <row r="6" spans="1:6" ht="12.75">
      <c r="A6" s="29" t="s">
        <v>244</v>
      </c>
      <c r="B6" s="74" t="s">
        <v>245</v>
      </c>
      <c r="C6" s="287">
        <v>1056</v>
      </c>
      <c r="D6" s="287">
        <v>17.73</v>
      </c>
      <c r="E6" s="287">
        <v>1</v>
      </c>
      <c r="F6" s="288">
        <f aca="true" t="shared" si="0" ref="F6:F17">ROUND(C6*D6*E6,2)</f>
        <v>18722.88</v>
      </c>
    </row>
    <row r="7" spans="1:6" ht="12.75">
      <c r="A7" s="29" t="s">
        <v>244</v>
      </c>
      <c r="B7" s="74" t="s">
        <v>245</v>
      </c>
      <c r="C7" s="287">
        <v>530</v>
      </c>
      <c r="D7" s="287">
        <v>18.42</v>
      </c>
      <c r="E7" s="287">
        <v>1</v>
      </c>
      <c r="F7" s="288">
        <f t="shared" si="0"/>
        <v>9762.6</v>
      </c>
    </row>
    <row r="8" spans="1:6" ht="12.75" hidden="1">
      <c r="A8" s="29" t="s">
        <v>246</v>
      </c>
      <c r="B8" s="74" t="s">
        <v>245</v>
      </c>
      <c r="C8" s="287">
        <v>0</v>
      </c>
      <c r="D8" s="287">
        <v>10.55</v>
      </c>
      <c r="E8" s="287">
        <v>1</v>
      </c>
      <c r="F8" s="288">
        <f t="shared" si="0"/>
        <v>0</v>
      </c>
    </row>
    <row r="9" spans="1:6" ht="12.75" hidden="1">
      <c r="A9" s="29" t="s">
        <v>246</v>
      </c>
      <c r="B9" s="74" t="s">
        <v>245</v>
      </c>
      <c r="C9" s="287">
        <v>0</v>
      </c>
      <c r="D9" s="287">
        <v>11.77</v>
      </c>
      <c r="E9" s="287">
        <v>1</v>
      </c>
      <c r="F9" s="288">
        <f t="shared" si="0"/>
        <v>0</v>
      </c>
    </row>
    <row r="10" spans="1:6" ht="12.75" hidden="1">
      <c r="A10" s="52" t="s">
        <v>177</v>
      </c>
      <c r="B10" s="75" t="s">
        <v>245</v>
      </c>
      <c r="C10" s="287">
        <v>0</v>
      </c>
      <c r="D10" s="287">
        <v>88.77</v>
      </c>
      <c r="E10" s="287">
        <v>1</v>
      </c>
      <c r="F10" s="288">
        <f t="shared" si="0"/>
        <v>0</v>
      </c>
    </row>
    <row r="11" spans="1:6" ht="12.75" hidden="1">
      <c r="A11" s="52" t="s">
        <v>177</v>
      </c>
      <c r="B11" s="75" t="s">
        <v>245</v>
      </c>
      <c r="C11" s="287">
        <v>0</v>
      </c>
      <c r="D11" s="287">
        <v>102.33</v>
      </c>
      <c r="E11" s="287">
        <v>1</v>
      </c>
      <c r="F11" s="288">
        <f t="shared" si="0"/>
        <v>0</v>
      </c>
    </row>
    <row r="12" spans="1:6" ht="12.75">
      <c r="A12" s="52" t="s">
        <v>247</v>
      </c>
      <c r="B12" s="75" t="s">
        <v>248</v>
      </c>
      <c r="C12" s="287">
        <v>360.53</v>
      </c>
      <c r="D12" s="287">
        <v>1480.86</v>
      </c>
      <c r="E12" s="287">
        <v>1</v>
      </c>
      <c r="F12" s="288">
        <f t="shared" si="0"/>
        <v>533894.46</v>
      </c>
    </row>
    <row r="13" spans="1:6" ht="12.75">
      <c r="A13" s="52" t="s">
        <v>247</v>
      </c>
      <c r="B13" s="75" t="s">
        <v>248</v>
      </c>
      <c r="C13" s="287">
        <v>61.740735</v>
      </c>
      <c r="D13" s="287">
        <v>1568.24</v>
      </c>
      <c r="E13" s="287">
        <v>1</v>
      </c>
      <c r="F13" s="288">
        <f>ROUND(C13*D13*E13,2)</f>
        <v>96824.29</v>
      </c>
    </row>
    <row r="14" spans="1:6" ht="12.75" hidden="1">
      <c r="A14" s="52" t="s">
        <v>451</v>
      </c>
      <c r="B14" s="75" t="s">
        <v>248</v>
      </c>
      <c r="C14" s="287"/>
      <c r="D14" s="287"/>
      <c r="E14" s="287"/>
      <c r="F14" s="288">
        <v>0</v>
      </c>
    </row>
    <row r="15" spans="1:6" ht="12.75">
      <c r="A15" s="52" t="s">
        <v>249</v>
      </c>
      <c r="B15" s="75" t="s">
        <v>250</v>
      </c>
      <c r="C15" s="287"/>
      <c r="D15" s="289">
        <v>407584.77</v>
      </c>
      <c r="E15" s="287">
        <v>1</v>
      </c>
      <c r="F15" s="288">
        <f>ROUND(D15*E15,2)</f>
        <v>407584.77</v>
      </c>
    </row>
    <row r="16" spans="1:6" ht="12.75" hidden="1">
      <c r="A16" s="52" t="s">
        <v>249</v>
      </c>
      <c r="B16" s="75" t="s">
        <v>250</v>
      </c>
      <c r="C16" s="287"/>
      <c r="D16" s="289"/>
      <c r="E16" s="287"/>
      <c r="F16" s="288">
        <f t="shared" si="0"/>
        <v>0</v>
      </c>
    </row>
    <row r="17" spans="1:6" ht="39" thickBot="1">
      <c r="A17" s="31" t="s">
        <v>251</v>
      </c>
      <c r="B17" s="76" t="s">
        <v>245</v>
      </c>
      <c r="C17" s="290">
        <v>1080</v>
      </c>
      <c r="D17" s="290">
        <v>170</v>
      </c>
      <c r="E17" s="290">
        <v>1</v>
      </c>
      <c r="F17" s="288">
        <f t="shared" si="0"/>
        <v>183600</v>
      </c>
    </row>
    <row r="18" spans="1:6" ht="13.5" thickBot="1">
      <c r="A18" s="31"/>
      <c r="B18" s="76"/>
      <c r="C18" s="290"/>
      <c r="D18" s="290"/>
      <c r="E18" s="290"/>
      <c r="F18" s="288"/>
    </row>
    <row r="20" ht="12.75">
      <c r="C20" s="77"/>
    </row>
    <row r="21" spans="3:6" ht="12.75">
      <c r="C21" s="77"/>
      <c r="F21" s="77"/>
    </row>
    <row r="22" ht="12.75">
      <c r="C22" s="77"/>
    </row>
    <row r="23" spans="1:81" s="38" customFormat="1" ht="12.75">
      <c r="A23" s="34" t="s">
        <v>446</v>
      </c>
      <c r="B23" s="35"/>
      <c r="C23" s="35"/>
      <c r="D23" s="35"/>
      <c r="E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</row>
    <row r="24" spans="5:81" s="38" customFormat="1" ht="12.75">
      <c r="E24" s="39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</row>
    <row r="25" spans="5:81" s="38" customFormat="1" ht="12.75">
      <c r="E25" s="39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</row>
    <row r="26" spans="1:81" s="38" customFormat="1" ht="12.75">
      <c r="A26" s="20" t="s">
        <v>176</v>
      </c>
      <c r="C26" s="646" t="s">
        <v>445</v>
      </c>
      <c r="D26" s="646"/>
      <c r="E26" s="40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</row>
    <row r="27" spans="6:81" s="38" customFormat="1" ht="12.75"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</row>
  </sheetData>
  <sheetProtection/>
  <mergeCells count="2">
    <mergeCell ref="A2:F2"/>
    <mergeCell ref="C26:D2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F21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18.8515625" style="20" customWidth="1"/>
    <col min="2" max="2" width="15.7109375" style="20" customWidth="1"/>
    <col min="3" max="3" width="14.140625" style="20" customWidth="1"/>
    <col min="4" max="5" width="9.7109375" style="20" customWidth="1"/>
    <col min="6" max="6" width="11.28125" style="20" customWidth="1"/>
    <col min="7" max="7" width="9.140625" style="20" customWidth="1"/>
    <col min="8" max="8" width="13.28125" style="20" customWidth="1"/>
    <col min="9" max="16384" width="9.140625" style="20" customWidth="1"/>
  </cols>
  <sheetData>
    <row r="1" spans="7:8" ht="12.75">
      <c r="G1" s="641" t="s">
        <v>252</v>
      </c>
      <c r="H1" s="641"/>
    </row>
    <row r="2" spans="1:6" ht="18.75">
      <c r="A2" s="636" t="s">
        <v>253</v>
      </c>
      <c r="B2" s="641"/>
      <c r="C2" s="641"/>
      <c r="D2" s="641"/>
      <c r="E2" s="641"/>
      <c r="F2" s="641"/>
    </row>
    <row r="3" spans="1:6" ht="18.75">
      <c r="A3" s="66"/>
      <c r="B3" s="54"/>
      <c r="C3" s="54"/>
      <c r="D3" s="54"/>
      <c r="E3" s="54"/>
      <c r="F3" s="54"/>
    </row>
    <row r="4" spans="1:6" ht="19.5" thickBot="1">
      <c r="A4" s="66"/>
      <c r="B4" s="54"/>
      <c r="C4" s="54"/>
      <c r="D4" s="54"/>
      <c r="E4" s="54"/>
      <c r="F4" s="54"/>
    </row>
    <row r="5" spans="1:6" s="80" customFormat="1" ht="39" customHeight="1">
      <c r="A5" s="78"/>
      <c r="B5" s="28" t="s">
        <v>254</v>
      </c>
      <c r="C5" s="79" t="s">
        <v>255</v>
      </c>
      <c r="D5" s="410"/>
      <c r="E5" s="410" t="s">
        <v>479</v>
      </c>
      <c r="F5" s="42" t="s">
        <v>253</v>
      </c>
    </row>
    <row r="6" spans="1:6" ht="12.75">
      <c r="A6" s="68" t="s">
        <v>256</v>
      </c>
      <c r="B6" s="81">
        <v>5717565</v>
      </c>
      <c r="C6" s="82">
        <v>0.022</v>
      </c>
      <c r="D6" s="411"/>
      <c r="E6" s="411"/>
      <c r="F6" s="356">
        <f>ROUND(B6*C6,0)</f>
        <v>125786</v>
      </c>
    </row>
    <row r="7" spans="1:6" ht="12.75">
      <c r="A7" s="68" t="s">
        <v>257</v>
      </c>
      <c r="B7" s="414">
        <v>55228120.5</v>
      </c>
      <c r="C7" s="82">
        <v>0.015</v>
      </c>
      <c r="D7" s="413">
        <v>4</v>
      </c>
      <c r="E7" s="413">
        <v>1</v>
      </c>
      <c r="F7" s="356">
        <f>ROUND(B7*C7/4,0)</f>
        <v>207105</v>
      </c>
    </row>
    <row r="8" spans="1:6" ht="12.75">
      <c r="A8" s="68" t="s">
        <v>257</v>
      </c>
      <c r="B8" s="414">
        <v>23914369.5</v>
      </c>
      <c r="C8" s="82">
        <v>0.015</v>
      </c>
      <c r="D8" s="413">
        <v>4</v>
      </c>
      <c r="E8" s="413">
        <v>3</v>
      </c>
      <c r="F8" s="356">
        <f>ROUND(B8*C8/D7*E8,0)</f>
        <v>269037</v>
      </c>
    </row>
    <row r="9" spans="1:6" ht="12.75">
      <c r="A9" s="68" t="s">
        <v>258</v>
      </c>
      <c r="B9" s="81"/>
      <c r="C9" s="82"/>
      <c r="D9" s="411"/>
      <c r="E9" s="411"/>
      <c r="F9" s="357"/>
    </row>
    <row r="10" spans="1:6" ht="12.75">
      <c r="A10" s="68" t="s">
        <v>259</v>
      </c>
      <c r="B10" s="81"/>
      <c r="C10" s="82"/>
      <c r="D10" s="411"/>
      <c r="E10" s="411"/>
      <c r="F10" s="357"/>
    </row>
    <row r="11" spans="1:6" ht="13.5" thickBot="1">
      <c r="A11" s="69"/>
      <c r="B11" s="83"/>
      <c r="C11" s="64"/>
      <c r="D11" s="412"/>
      <c r="E11" s="412"/>
      <c r="F11" s="358"/>
    </row>
    <row r="17" spans="1:84" s="38" customFormat="1" ht="12.75">
      <c r="A17" s="34" t="s">
        <v>428</v>
      </c>
      <c r="B17" s="35"/>
      <c r="C17" s="35"/>
      <c r="D17" s="35"/>
      <c r="E17" s="35"/>
      <c r="F17" s="35"/>
      <c r="G17" s="36"/>
      <c r="H17" s="34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</row>
    <row r="18" spans="7:84" s="38" customFormat="1" ht="12.75">
      <c r="G18" s="39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</row>
    <row r="19" spans="7:84" s="38" customFormat="1" ht="12.75">
      <c r="G19" s="39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</row>
    <row r="20" spans="1:84" s="38" customFormat="1" ht="12.75">
      <c r="A20" s="20" t="s">
        <v>429</v>
      </c>
      <c r="G20" s="40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</row>
    <row r="21" spans="9:84" s="38" customFormat="1" ht="12.75"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</row>
  </sheetData>
  <sheetProtection/>
  <mergeCells count="2">
    <mergeCell ref="G1:H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D152"/>
  <sheetViews>
    <sheetView zoomScalePageLayoutView="0" workbookViewId="0" topLeftCell="A131">
      <selection activeCell="D145" sqref="D145"/>
    </sheetView>
  </sheetViews>
  <sheetFormatPr defaultColWidth="9.140625" defaultRowHeight="15"/>
  <cols>
    <col min="1" max="1" width="29.00390625" style="38" customWidth="1"/>
    <col min="2" max="2" width="20.140625" style="38" customWidth="1"/>
    <col min="3" max="3" width="20.140625" style="38" hidden="1" customWidth="1"/>
    <col min="4" max="4" width="25.8515625" style="38" customWidth="1"/>
    <col min="5" max="5" width="12.00390625" style="38" hidden="1" customWidth="1"/>
    <col min="6" max="6" width="25.8515625" style="38" customWidth="1"/>
    <col min="7" max="9" width="18.421875" style="37" customWidth="1"/>
    <col min="10" max="82" width="9.140625" style="37" customWidth="1"/>
    <col min="83" max="16384" width="9.140625" style="38" customWidth="1"/>
  </cols>
  <sheetData>
    <row r="1" spans="1:6" ht="36.75" customHeight="1">
      <c r="A1" s="648" t="s">
        <v>261</v>
      </c>
      <c r="B1" s="648"/>
      <c r="C1" s="648"/>
      <c r="D1" s="648"/>
      <c r="E1" s="648"/>
      <c r="F1" s="648"/>
    </row>
    <row r="2" spans="1:16" ht="49.5" customHeight="1">
      <c r="A2" s="649" t="s">
        <v>430</v>
      </c>
      <c r="B2" s="649"/>
      <c r="C2" s="649"/>
      <c r="D2" s="649"/>
      <c r="E2" s="649"/>
      <c r="F2" s="649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6" ht="43.5" customHeight="1">
      <c r="A3" s="650" t="s">
        <v>146</v>
      </c>
      <c r="B3" s="650"/>
      <c r="C3" s="650"/>
      <c r="D3" s="650"/>
      <c r="E3" s="650"/>
      <c r="F3" s="650"/>
    </row>
    <row r="4" ht="8.25" customHeight="1"/>
    <row r="5" spans="1:6" ht="37.5" customHeight="1">
      <c r="A5" s="634" t="s">
        <v>262</v>
      </c>
      <c r="B5" s="651"/>
      <c r="C5" s="651"/>
      <c r="D5" s="651"/>
      <c r="E5" s="651"/>
      <c r="F5" s="651"/>
    </row>
    <row r="6" spans="1:6" ht="34.5" customHeight="1">
      <c r="A6" s="85" t="s">
        <v>263</v>
      </c>
      <c r="B6" s="86"/>
      <c r="C6" s="86"/>
      <c r="D6" s="87">
        <f>'мун.задание'!P69</f>
        <v>310</v>
      </c>
      <c r="E6" s="86"/>
      <c r="F6" s="86"/>
    </row>
    <row r="7" ht="9" customHeight="1" thickBot="1"/>
    <row r="8" spans="1:6" ht="47.25" customHeight="1" thickBot="1">
      <c r="A8" s="88" t="s">
        <v>264</v>
      </c>
      <c r="B8" s="89" t="s">
        <v>16</v>
      </c>
      <c r="C8" s="89" t="s">
        <v>189</v>
      </c>
      <c r="D8" s="89" t="s">
        <v>265</v>
      </c>
      <c r="E8" s="89" t="s">
        <v>190</v>
      </c>
      <c r="F8" s="90" t="s">
        <v>266</v>
      </c>
    </row>
    <row r="9" spans="1:6" ht="36.75" customHeight="1" thickBot="1">
      <c r="A9" s="652" t="s">
        <v>267</v>
      </c>
      <c r="B9" s="653"/>
      <c r="C9" s="653"/>
      <c r="D9" s="653"/>
      <c r="E9" s="653"/>
      <c r="F9" s="654"/>
    </row>
    <row r="10" spans="1:6" ht="45.75" customHeight="1" thickBot="1">
      <c r="A10" s="91" t="s">
        <v>268</v>
      </c>
      <c r="B10" s="92" t="s">
        <v>269</v>
      </c>
      <c r="C10" s="93">
        <v>5</v>
      </c>
      <c r="D10" s="92">
        <f>ROUND(F10/D6,2)</f>
        <v>16770.79</v>
      </c>
      <c r="E10" s="92"/>
      <c r="F10" s="94">
        <f>F16+F21+F25</f>
        <v>5198943.8</v>
      </c>
    </row>
    <row r="11" spans="1:6" ht="56.25" customHeight="1">
      <c r="A11" s="95" t="s">
        <v>270</v>
      </c>
      <c r="B11" s="96" t="s">
        <v>269</v>
      </c>
      <c r="C11" s="97">
        <v>9</v>
      </c>
      <c r="D11" s="98">
        <f>ROUND(F11/D6,2)</f>
        <v>5064.78</v>
      </c>
      <c r="E11" s="96"/>
      <c r="F11" s="94">
        <f>F17+F22+F26</f>
        <v>1570081</v>
      </c>
    </row>
    <row r="12" spans="1:6" ht="56.25" customHeight="1">
      <c r="A12" s="95" t="s">
        <v>467</v>
      </c>
      <c r="B12" s="96" t="s">
        <v>269</v>
      </c>
      <c r="C12" s="97"/>
      <c r="D12" s="98">
        <f>ROUND(F12/D6,2)</f>
        <v>36.27</v>
      </c>
      <c r="E12" s="96"/>
      <c r="F12" s="99">
        <f>F27</f>
        <v>11243</v>
      </c>
    </row>
    <row r="13" spans="1:6" ht="48" customHeight="1">
      <c r="A13" s="100" t="s">
        <v>271</v>
      </c>
      <c r="B13" s="96" t="s">
        <v>269</v>
      </c>
      <c r="C13" s="96"/>
      <c r="D13" s="98">
        <f>ROUND(F13/D6,2)</f>
        <v>319.03</v>
      </c>
      <c r="E13" s="96"/>
      <c r="F13" s="99">
        <f>F18+F28</f>
        <v>98898</v>
      </c>
    </row>
    <row r="14" spans="1:82" s="104" customFormat="1" ht="18" customHeight="1" thickBot="1">
      <c r="A14" s="101" t="s">
        <v>272</v>
      </c>
      <c r="B14" s="102"/>
      <c r="C14" s="102"/>
      <c r="D14" s="102">
        <f>SUM(D10:E13)</f>
        <v>22190.87</v>
      </c>
      <c r="E14" s="102"/>
      <c r="F14" s="103">
        <f>SUM(F10:F13)</f>
        <v>6879165.8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</row>
    <row r="15" spans="1:6" s="105" customFormat="1" ht="31.5" customHeight="1" thickBot="1">
      <c r="A15" s="655" t="s">
        <v>273</v>
      </c>
      <c r="B15" s="656"/>
      <c r="C15" s="656"/>
      <c r="D15" s="656"/>
      <c r="E15" s="656"/>
      <c r="F15" s="657"/>
    </row>
    <row r="16" spans="1:6" s="105" customFormat="1" ht="48.75" customHeight="1" thickBot="1">
      <c r="A16" s="91" t="s">
        <v>268</v>
      </c>
      <c r="B16" s="92" t="s">
        <v>269</v>
      </c>
      <c r="C16" s="93">
        <v>5</v>
      </c>
      <c r="D16" s="92">
        <f>ROUND(F16/D6,2)</f>
        <v>0</v>
      </c>
      <c r="E16" s="92"/>
      <c r="F16" s="94">
        <f>'пр.1+2 '!F9</f>
        <v>0</v>
      </c>
    </row>
    <row r="17" spans="1:6" s="105" customFormat="1" ht="36" customHeight="1" thickBot="1">
      <c r="A17" s="95" t="s">
        <v>270</v>
      </c>
      <c r="B17" s="96" t="s">
        <v>269</v>
      </c>
      <c r="C17" s="97">
        <v>9</v>
      </c>
      <c r="D17" s="92">
        <f>ROUND(F17/D6,2)</f>
        <v>0</v>
      </c>
      <c r="E17" s="96"/>
      <c r="F17" s="99">
        <f>'пр.1+2 '!G9</f>
        <v>0</v>
      </c>
    </row>
    <row r="18" spans="1:6" s="105" customFormat="1" ht="21.75" customHeight="1">
      <c r="A18" s="100" t="s">
        <v>271</v>
      </c>
      <c r="B18" s="96" t="s">
        <v>269</v>
      </c>
      <c r="C18" s="96"/>
      <c r="D18" s="92">
        <f>ROUND(F18/D6,2)</f>
        <v>0</v>
      </c>
      <c r="E18" s="96"/>
      <c r="F18" s="106">
        <f>'пр.1+2 '!D13</f>
        <v>0</v>
      </c>
    </row>
    <row r="19" spans="1:7" s="105" customFormat="1" ht="21.75" customHeight="1" thickBot="1">
      <c r="A19" s="101" t="s">
        <v>272</v>
      </c>
      <c r="B19" s="102"/>
      <c r="C19" s="102"/>
      <c r="D19" s="102">
        <f>SUM(D16:D18)</f>
        <v>0</v>
      </c>
      <c r="E19" s="102"/>
      <c r="F19" s="103">
        <f>SUM(F16:F18)</f>
        <v>0</v>
      </c>
      <c r="G19" s="37"/>
    </row>
    <row r="20" spans="1:6" s="105" customFormat="1" ht="31.5" customHeight="1" thickBot="1">
      <c r="A20" s="655" t="s">
        <v>274</v>
      </c>
      <c r="B20" s="656"/>
      <c r="C20" s="656"/>
      <c r="D20" s="656"/>
      <c r="E20" s="656"/>
      <c r="F20" s="657"/>
    </row>
    <row r="21" spans="1:6" s="105" customFormat="1" ht="48.75" customHeight="1" thickBot="1">
      <c r="A21" s="91" t="s">
        <v>268</v>
      </c>
      <c r="B21" s="92" t="s">
        <v>269</v>
      </c>
      <c r="C21" s="93">
        <v>5</v>
      </c>
      <c r="D21" s="92">
        <f>ROUND(F21/D6,2)</f>
        <v>0</v>
      </c>
      <c r="E21" s="92"/>
      <c r="F21" s="94">
        <f>'пр.1+2 '!D22</f>
        <v>0</v>
      </c>
    </row>
    <row r="22" spans="1:6" s="105" customFormat="1" ht="36" customHeight="1">
      <c r="A22" s="95" t="s">
        <v>270</v>
      </c>
      <c r="B22" s="96" t="s">
        <v>269</v>
      </c>
      <c r="C22" s="97">
        <v>9</v>
      </c>
      <c r="D22" s="92">
        <f>ROUND(F22/D6,2)</f>
        <v>0</v>
      </c>
      <c r="E22" s="96"/>
      <c r="F22" s="99">
        <f>'пр.1+2 '!E22</f>
        <v>0</v>
      </c>
    </row>
    <row r="23" spans="1:7" s="105" customFormat="1" ht="21.75" customHeight="1" thickBot="1">
      <c r="A23" s="101" t="s">
        <v>272</v>
      </c>
      <c r="B23" s="102"/>
      <c r="C23" s="102"/>
      <c r="D23" s="102">
        <f>D21+D22</f>
        <v>0</v>
      </c>
      <c r="E23" s="102"/>
      <c r="F23" s="103">
        <f>SUM(F21:F22)</f>
        <v>0</v>
      </c>
      <c r="G23" s="37"/>
    </row>
    <row r="24" spans="1:6" s="105" customFormat="1" ht="36.75" customHeight="1" thickBot="1">
      <c r="A24" s="660" t="s">
        <v>275</v>
      </c>
      <c r="B24" s="661"/>
      <c r="C24" s="661"/>
      <c r="D24" s="661"/>
      <c r="E24" s="661"/>
      <c r="F24" s="662"/>
    </row>
    <row r="25" spans="1:6" s="105" customFormat="1" ht="47.25" customHeight="1" thickBot="1">
      <c r="A25" s="91" t="s">
        <v>268</v>
      </c>
      <c r="B25" s="92" t="s">
        <v>269</v>
      </c>
      <c r="C25" s="93">
        <v>5</v>
      </c>
      <c r="D25" s="92">
        <f>ROUND(F25/D6,2)</f>
        <v>16770.79</v>
      </c>
      <c r="E25" s="92"/>
      <c r="F25" s="94">
        <f>'пр.1+2 '!F30</f>
        <v>5198943.8</v>
      </c>
    </row>
    <row r="26" spans="1:6" s="105" customFormat="1" ht="47.25" customHeight="1" thickBot="1">
      <c r="A26" s="95" t="s">
        <v>270</v>
      </c>
      <c r="B26" s="96" t="s">
        <v>269</v>
      </c>
      <c r="C26" s="97">
        <v>9</v>
      </c>
      <c r="D26" s="92">
        <f>ROUND(F26/D6,2)</f>
        <v>5064.78</v>
      </c>
      <c r="E26" s="96"/>
      <c r="F26" s="99">
        <f>'пр.1+2 '!G30</f>
        <v>1570081</v>
      </c>
    </row>
    <row r="27" spans="1:6" s="105" customFormat="1" ht="37.5" customHeight="1" thickBot="1">
      <c r="A27" s="95" t="s">
        <v>467</v>
      </c>
      <c r="B27" s="96" t="s">
        <v>269</v>
      </c>
      <c r="C27" s="97"/>
      <c r="D27" s="92">
        <f>ROUND(F27/D6,2)</f>
        <v>36.27</v>
      </c>
      <c r="E27" s="96"/>
      <c r="F27" s="99">
        <f>'пр.1+2 '!D34</f>
        <v>11243</v>
      </c>
    </row>
    <row r="28" spans="1:6" s="105" customFormat="1" ht="47.25" customHeight="1">
      <c r="A28" s="100" t="s">
        <v>271</v>
      </c>
      <c r="B28" s="96" t="s">
        <v>269</v>
      </c>
      <c r="C28" s="96"/>
      <c r="D28" s="92">
        <f>ROUND(F28/D6,2)</f>
        <v>319.03</v>
      </c>
      <c r="E28" s="96"/>
      <c r="F28" s="106">
        <f>'пр.1+2 '!D35+'пр.1+2 '!D36</f>
        <v>98898</v>
      </c>
    </row>
    <row r="29" spans="1:7" s="105" customFormat="1" ht="21.75" customHeight="1" thickBot="1">
      <c r="A29" s="101" t="s">
        <v>272</v>
      </c>
      <c r="B29" s="102"/>
      <c r="C29" s="102"/>
      <c r="D29" s="103">
        <f>SUM(D25:D28)</f>
        <v>22190.87</v>
      </c>
      <c r="E29" s="103">
        <f>SUM(E25:E28)</f>
        <v>0</v>
      </c>
      <c r="F29" s="103">
        <f>SUM(F25:F28)</f>
        <v>6879165.8</v>
      </c>
      <c r="G29" s="37"/>
    </row>
    <row r="30" spans="1:6" s="37" customFormat="1" ht="21" customHeight="1">
      <c r="A30" s="663" t="s">
        <v>276</v>
      </c>
      <c r="B30" s="653"/>
      <c r="C30" s="653"/>
      <c r="D30" s="653"/>
      <c r="E30" s="653"/>
      <c r="F30" s="653"/>
    </row>
    <row r="31" spans="1:6" ht="33.75" customHeight="1" thickBot="1">
      <c r="A31" s="664" t="s">
        <v>277</v>
      </c>
      <c r="B31" s="656"/>
      <c r="C31" s="656"/>
      <c r="D31" s="656"/>
      <c r="E31" s="656"/>
      <c r="F31" s="656"/>
    </row>
    <row r="32" spans="1:6" ht="43.5" customHeight="1">
      <c r="A32" s="91" t="s">
        <v>278</v>
      </c>
      <c r="B32" s="92" t="s">
        <v>269</v>
      </c>
      <c r="C32" s="92">
        <v>5</v>
      </c>
      <c r="D32" s="92">
        <f aca="true" t="shared" si="0" ref="D32:F34">D38+D43</f>
        <v>11558.21</v>
      </c>
      <c r="E32" s="92">
        <f t="shared" si="0"/>
        <v>2</v>
      </c>
      <c r="F32" s="195">
        <f t="shared" si="0"/>
        <v>3583047.1999999997</v>
      </c>
    </row>
    <row r="33" spans="1:6" ht="48" customHeight="1" hidden="1">
      <c r="A33" s="95" t="s">
        <v>278</v>
      </c>
      <c r="B33" s="96" t="s">
        <v>269</v>
      </c>
      <c r="C33" s="96">
        <v>4</v>
      </c>
      <c r="D33" s="96">
        <f t="shared" si="0"/>
        <v>0</v>
      </c>
      <c r="E33" s="96">
        <f t="shared" si="0"/>
        <v>0</v>
      </c>
      <c r="F33" s="118">
        <f t="shared" si="0"/>
        <v>0</v>
      </c>
    </row>
    <row r="34" spans="1:6" ht="66" customHeight="1">
      <c r="A34" s="95" t="s">
        <v>279</v>
      </c>
      <c r="B34" s="96" t="s">
        <v>269</v>
      </c>
      <c r="C34" s="96">
        <v>9</v>
      </c>
      <c r="D34" s="96">
        <f t="shared" si="0"/>
        <v>3653.68</v>
      </c>
      <c r="E34" s="96">
        <f t="shared" si="0"/>
        <v>2</v>
      </c>
      <c r="F34" s="196">
        <f t="shared" si="0"/>
        <v>1132639</v>
      </c>
    </row>
    <row r="35" spans="1:6" ht="26.25" customHeight="1">
      <c r="A35" s="95" t="s">
        <v>160</v>
      </c>
      <c r="B35" s="96" t="s">
        <v>269</v>
      </c>
      <c r="C35" s="96">
        <v>12</v>
      </c>
      <c r="D35" s="96">
        <f>D46</f>
        <v>7.74</v>
      </c>
      <c r="E35" s="96" t="e">
        <f>#REF!+E46</f>
        <v>#REF!</v>
      </c>
      <c r="F35" s="106">
        <f>F46</f>
        <v>2400</v>
      </c>
    </row>
    <row r="36" spans="1:82" s="104" customFormat="1" ht="26.25" customHeight="1" thickBot="1">
      <c r="A36" s="108" t="s">
        <v>272</v>
      </c>
      <c r="B36" s="102"/>
      <c r="C36" s="102"/>
      <c r="D36" s="194">
        <f>SUM(D32:D35)</f>
        <v>15219.63</v>
      </c>
      <c r="E36" s="102"/>
      <c r="F36" s="103">
        <f>SUM(F32:F35)</f>
        <v>4718086.199999999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</row>
    <row r="37" spans="1:6" ht="48" customHeight="1" thickBot="1">
      <c r="A37" s="664" t="s">
        <v>280</v>
      </c>
      <c r="B37" s="656"/>
      <c r="C37" s="656"/>
      <c r="D37" s="656"/>
      <c r="E37" s="656"/>
      <c r="F37" s="656"/>
    </row>
    <row r="38" spans="1:7" ht="43.5" customHeight="1" thickBot="1">
      <c r="A38" s="91" t="s">
        <v>278</v>
      </c>
      <c r="B38" s="92" t="s">
        <v>269</v>
      </c>
      <c r="C38" s="92">
        <v>5</v>
      </c>
      <c r="D38" s="92">
        <f>ROUND(F38/D6,2)</f>
        <v>5077.67</v>
      </c>
      <c r="E38" s="92">
        <v>1</v>
      </c>
      <c r="F38" s="92">
        <f>'пр.1+2 '!F64</f>
        <v>1574079.1999999997</v>
      </c>
      <c r="G38" s="278"/>
    </row>
    <row r="39" spans="1:6" ht="48" customHeight="1" hidden="1">
      <c r="A39" s="107" t="s">
        <v>278</v>
      </c>
      <c r="B39" s="96" t="s">
        <v>269</v>
      </c>
      <c r="C39" s="97">
        <v>4</v>
      </c>
      <c r="D39" s="98"/>
      <c r="E39" s="96"/>
      <c r="F39" s="106"/>
    </row>
    <row r="40" spans="1:6" ht="58.5" customHeight="1">
      <c r="A40" s="107" t="s">
        <v>279</v>
      </c>
      <c r="B40" s="96" t="s">
        <v>269</v>
      </c>
      <c r="C40" s="97">
        <v>9</v>
      </c>
      <c r="D40" s="98">
        <f>ROUND(F40/D6,2)</f>
        <v>1533.46</v>
      </c>
      <c r="E40" s="96">
        <v>1</v>
      </c>
      <c r="F40" s="92">
        <f>'пр.1+2 '!G64</f>
        <v>475372</v>
      </c>
    </row>
    <row r="41" spans="1:82" s="104" customFormat="1" ht="26.25" customHeight="1" thickBot="1">
      <c r="A41" s="108" t="s">
        <v>272</v>
      </c>
      <c r="B41" s="102"/>
      <c r="C41" s="102"/>
      <c r="D41" s="103">
        <f>SUM(D38:D40)</f>
        <v>6611.13</v>
      </c>
      <c r="E41" s="102"/>
      <c r="F41" s="103">
        <f>SUM(F38:F40)</f>
        <v>2049451.1999999997</v>
      </c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</row>
    <row r="42" spans="1:6" ht="48" customHeight="1" thickBot="1">
      <c r="A42" s="664" t="s">
        <v>281</v>
      </c>
      <c r="B42" s="656"/>
      <c r="C42" s="656"/>
      <c r="D42" s="656"/>
      <c r="E42" s="656"/>
      <c r="F42" s="656"/>
    </row>
    <row r="43" spans="1:6" ht="43.5" customHeight="1">
      <c r="A43" s="91" t="s">
        <v>278</v>
      </c>
      <c r="B43" s="92" t="s">
        <v>269</v>
      </c>
      <c r="C43" s="92">
        <v>5</v>
      </c>
      <c r="D43" s="92">
        <f>ROUND(F43/D6,2)</f>
        <v>6480.54</v>
      </c>
      <c r="E43" s="92">
        <v>1</v>
      </c>
      <c r="F43" s="94">
        <f>'пр.1+2 '!F51</f>
        <v>2008968</v>
      </c>
    </row>
    <row r="44" spans="1:6" ht="48" customHeight="1" hidden="1">
      <c r="A44" s="107" t="s">
        <v>278</v>
      </c>
      <c r="B44" s="96" t="s">
        <v>269</v>
      </c>
      <c r="C44" s="97">
        <v>4</v>
      </c>
      <c r="D44" s="98"/>
      <c r="E44" s="96"/>
      <c r="F44" s="106"/>
    </row>
    <row r="45" spans="1:6" ht="57.75" customHeight="1">
      <c r="A45" s="107" t="s">
        <v>279</v>
      </c>
      <c r="B45" s="96" t="s">
        <v>269</v>
      </c>
      <c r="C45" s="97">
        <v>9</v>
      </c>
      <c r="D45" s="98">
        <f>ROUND(F45/D6,2)</f>
        <v>2120.22</v>
      </c>
      <c r="E45" s="96">
        <v>1</v>
      </c>
      <c r="F45" s="106">
        <f>'пр.1+2 '!G51</f>
        <v>657267</v>
      </c>
    </row>
    <row r="46" spans="1:6" ht="26.25" customHeight="1">
      <c r="A46" s="95" t="s">
        <v>160</v>
      </c>
      <c r="B46" s="96" t="s">
        <v>269</v>
      </c>
      <c r="C46" s="97">
        <v>12</v>
      </c>
      <c r="D46" s="98">
        <f>ROUND(F46/D6,2)</f>
        <v>7.74</v>
      </c>
      <c r="E46" s="96">
        <v>1</v>
      </c>
      <c r="F46" s="106">
        <f>'пр.1+2 '!D54</f>
        <v>2400</v>
      </c>
    </row>
    <row r="47" spans="1:82" s="104" customFormat="1" ht="20.25" customHeight="1" thickBot="1">
      <c r="A47" s="108" t="s">
        <v>272</v>
      </c>
      <c r="B47" s="102"/>
      <c r="C47" s="102"/>
      <c r="D47" s="103">
        <f>SUM(D43:D46)</f>
        <v>8608.5</v>
      </c>
      <c r="E47" s="102"/>
      <c r="F47" s="103">
        <f>SUM(F43:F46)</f>
        <v>2668635</v>
      </c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</row>
    <row r="48" spans="1:6" ht="21.75" customHeight="1" thickBot="1">
      <c r="A48" s="109" t="s">
        <v>282</v>
      </c>
      <c r="B48" s="109"/>
      <c r="C48" s="109"/>
      <c r="D48" s="109"/>
      <c r="E48" s="109"/>
      <c r="F48" s="109"/>
    </row>
    <row r="49" spans="1:7" ht="12.75">
      <c r="A49" s="41" t="s">
        <v>163</v>
      </c>
      <c r="B49" s="92" t="s">
        <v>269</v>
      </c>
      <c r="C49" s="92">
        <v>12</v>
      </c>
      <c r="D49" s="92">
        <f>ROUND(F49/D6,2)</f>
        <v>114.55</v>
      </c>
      <c r="E49" s="92"/>
      <c r="F49" s="299">
        <f>'пр.3'!F6+'пр.3'!F7+'пр.3'!F8</f>
        <v>35509.2</v>
      </c>
      <c r="G49" s="278"/>
    </row>
    <row r="50" spans="1:7" ht="12.75">
      <c r="A50" s="29" t="s">
        <v>164</v>
      </c>
      <c r="B50" s="96" t="s">
        <v>269</v>
      </c>
      <c r="C50" s="96">
        <v>12</v>
      </c>
      <c r="D50" s="98">
        <f>ROUND(F50/D6,2)</f>
        <v>9.94</v>
      </c>
      <c r="E50" s="96"/>
      <c r="F50" s="298">
        <f>'пр.3'!F9+'пр.3'!F10</f>
        <v>3082.2</v>
      </c>
      <c r="G50" s="278"/>
    </row>
    <row r="51" spans="1:6" ht="12.75">
      <c r="A51" s="29" t="s">
        <v>165</v>
      </c>
      <c r="B51" s="96" t="s">
        <v>269</v>
      </c>
      <c r="C51" s="96">
        <v>12</v>
      </c>
      <c r="D51" s="98">
        <f>ROUND(F51/D6,2)-0.01</f>
        <v>33.18</v>
      </c>
      <c r="E51" s="96"/>
      <c r="F51" s="298">
        <f>'пр.3'!F11</f>
        <v>10287.6</v>
      </c>
    </row>
    <row r="52" spans="1:7" ht="25.5">
      <c r="A52" s="29" t="s">
        <v>166</v>
      </c>
      <c r="B52" s="96" t="s">
        <v>269</v>
      </c>
      <c r="C52" s="96">
        <v>12</v>
      </c>
      <c r="D52" s="98">
        <f>ROUND(F52/D6,2)</f>
        <v>109.63</v>
      </c>
      <c r="E52" s="96"/>
      <c r="F52" s="298">
        <f>'пр.3'!F12</f>
        <v>33984</v>
      </c>
      <c r="G52" s="110"/>
    </row>
    <row r="53" spans="1:6" ht="12.75">
      <c r="A53" s="29" t="s">
        <v>167</v>
      </c>
      <c r="B53" s="96" t="s">
        <v>269</v>
      </c>
      <c r="C53" s="96">
        <v>12</v>
      </c>
      <c r="D53" s="98">
        <f>ROUND(F53/D6,2)</f>
        <v>38.71</v>
      </c>
      <c r="E53" s="96"/>
      <c r="F53" s="298">
        <f>'пр.3'!F16</f>
        <v>12001.2</v>
      </c>
    </row>
    <row r="54" spans="1:6" ht="12.75">
      <c r="A54" s="29" t="s">
        <v>167</v>
      </c>
      <c r="B54" s="96" t="s">
        <v>269</v>
      </c>
      <c r="C54" s="96">
        <v>12</v>
      </c>
      <c r="D54" s="98">
        <f>ROUND(F54/D6,2)</f>
        <v>64.82</v>
      </c>
      <c r="E54" s="96"/>
      <c r="F54" s="298">
        <f>'пр.3'!F20+'пр.3'!F21</f>
        <v>20094</v>
      </c>
    </row>
    <row r="55" spans="1:6" ht="25.5">
      <c r="A55" s="29" t="s">
        <v>168</v>
      </c>
      <c r="B55" s="96" t="s">
        <v>269</v>
      </c>
      <c r="C55" s="96">
        <v>12</v>
      </c>
      <c r="D55" s="98">
        <f>ROUND(F55/D6,2)</f>
        <v>0</v>
      </c>
      <c r="E55" s="96"/>
      <c r="F55" s="298">
        <f>'пр.3'!F19</f>
        <v>0</v>
      </c>
    </row>
    <row r="56" spans="1:6" ht="25.5">
      <c r="A56" s="29" t="s">
        <v>212</v>
      </c>
      <c r="B56" s="96" t="s">
        <v>269</v>
      </c>
      <c r="C56" s="96">
        <v>12</v>
      </c>
      <c r="D56" s="98">
        <f>ROUND(F56/D6,2)</f>
        <v>44.59</v>
      </c>
      <c r="E56" s="96"/>
      <c r="F56" s="298">
        <f>'пр.3'!F13</f>
        <v>13822.88</v>
      </c>
    </row>
    <row r="57" spans="1:6" ht="16.5" customHeight="1">
      <c r="A57" s="409" t="str">
        <f>'пр.3'!A15</f>
        <v>поверка ремонт теплосчетчиков де</v>
      </c>
      <c r="B57" s="96" t="s">
        <v>269</v>
      </c>
      <c r="C57" s="96">
        <v>12</v>
      </c>
      <c r="D57" s="98">
        <f>ROUND(F57/D6,2)</f>
        <v>75.15</v>
      </c>
      <c r="E57" s="96"/>
      <c r="F57" s="298">
        <f>'пр.3'!F15+'пр.3'!F14</f>
        <v>23296</v>
      </c>
    </row>
    <row r="58" spans="1:6" ht="25.5">
      <c r="A58" s="29" t="s">
        <v>215</v>
      </c>
      <c r="B58" s="96" t="s">
        <v>269</v>
      </c>
      <c r="C58" s="96"/>
      <c r="D58" s="98">
        <f>ROUND(F58/D6,2)</f>
        <v>27.1</v>
      </c>
      <c r="E58" s="96"/>
      <c r="F58" s="298">
        <f>'пр.3'!F22+'пр.3'!F23</f>
        <v>8400</v>
      </c>
    </row>
    <row r="59" spans="1:6" ht="12.75">
      <c r="A59" s="29" t="s">
        <v>216</v>
      </c>
      <c r="B59" s="96" t="s">
        <v>269</v>
      </c>
      <c r="C59" s="96"/>
      <c r="D59" s="98">
        <f>ROUND(F59/D6,2)</f>
        <v>62.14</v>
      </c>
      <c r="E59" s="96"/>
      <c r="F59" s="298">
        <f>'пр.3'!F28+'пр.3'!F27</f>
        <v>19263.12</v>
      </c>
    </row>
    <row r="60" spans="1:6" ht="25.5" hidden="1">
      <c r="A60" s="29" t="s">
        <v>454</v>
      </c>
      <c r="B60" s="96" t="s">
        <v>269</v>
      </c>
      <c r="C60" s="96"/>
      <c r="D60" s="98">
        <f>ROUND(F60/D6,2)</f>
        <v>0</v>
      </c>
      <c r="E60" s="96"/>
      <c r="F60" s="298">
        <f>'пр.3'!F18</f>
        <v>0</v>
      </c>
    </row>
    <row r="61" spans="1:6" ht="12.75" hidden="1">
      <c r="A61" s="29" t="s">
        <v>453</v>
      </c>
      <c r="B61" s="96" t="s">
        <v>269</v>
      </c>
      <c r="C61" s="96"/>
      <c r="D61" s="98">
        <f>ROUND(F61/D6,2)</f>
        <v>0</v>
      </c>
      <c r="E61" s="96"/>
      <c r="F61" s="298">
        <f>'пр.3'!F17</f>
        <v>0</v>
      </c>
    </row>
    <row r="62" spans="1:6" ht="12.75" hidden="1">
      <c r="A62" s="29" t="s">
        <v>456</v>
      </c>
      <c r="B62" s="96" t="s">
        <v>269</v>
      </c>
      <c r="C62" s="96"/>
      <c r="D62" s="98">
        <f>ROUND(F62/D6,2)</f>
        <v>0</v>
      </c>
      <c r="E62" s="96"/>
      <c r="F62" s="298">
        <f>'пр.3'!F25</f>
        <v>0</v>
      </c>
    </row>
    <row r="63" spans="1:6" ht="12.75" hidden="1">
      <c r="A63" s="29" t="s">
        <v>452</v>
      </c>
      <c r="B63" s="96" t="s">
        <v>269</v>
      </c>
      <c r="C63" s="96"/>
      <c r="D63" s="98">
        <f>ROUND(F63/D6,2)</f>
        <v>0</v>
      </c>
      <c r="E63" s="96"/>
      <c r="F63" s="106">
        <f>'пр.3'!F24</f>
        <v>0</v>
      </c>
    </row>
    <row r="64" spans="1:6" ht="12.75" hidden="1">
      <c r="A64" s="29"/>
      <c r="B64" s="96"/>
      <c r="C64" s="96"/>
      <c r="D64" s="98"/>
      <c r="E64" s="96"/>
      <c r="F64" s="106"/>
    </row>
    <row r="65" spans="1:6" ht="12.75" hidden="1">
      <c r="A65" s="111"/>
      <c r="B65" s="112"/>
      <c r="C65" s="112"/>
      <c r="D65" s="96"/>
      <c r="E65" s="96"/>
      <c r="F65" s="106"/>
    </row>
    <row r="66" spans="1:6" ht="12.75">
      <c r="A66" s="121" t="s">
        <v>478</v>
      </c>
      <c r="B66" s="96" t="s">
        <v>269</v>
      </c>
      <c r="C66" s="96"/>
      <c r="D66" s="438">
        <f>F66/D6</f>
        <v>693.5483870967741</v>
      </c>
      <c r="E66" s="96"/>
      <c r="F66" s="298">
        <f>'пр.3'!F26</f>
        <v>215000</v>
      </c>
    </row>
    <row r="67" spans="1:82" s="104" customFormat="1" ht="13.5" thickBot="1">
      <c r="A67" s="113" t="s">
        <v>272</v>
      </c>
      <c r="B67" s="114"/>
      <c r="C67" s="114"/>
      <c r="D67" s="103">
        <f>D49+D50+D51+D52+D53+D54+D56+D57+D58+D59+D66</f>
        <v>1273.358387096774</v>
      </c>
      <c r="E67" s="102"/>
      <c r="F67" s="103">
        <f>F49+F50+F51+F52+F53+F55+F56+F57+F58+F59+F66+F54</f>
        <v>394740.2</v>
      </c>
      <c r="G67" s="278"/>
      <c r="H67" s="278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</row>
    <row r="68" spans="1:6" ht="18" customHeight="1" thickBot="1">
      <c r="A68" s="669" t="s">
        <v>283</v>
      </c>
      <c r="B68" s="669"/>
      <c r="C68" s="669"/>
      <c r="D68" s="669"/>
      <c r="E68" s="669"/>
      <c r="F68" s="669"/>
    </row>
    <row r="69" spans="1:6" ht="13.5" thickBot="1">
      <c r="A69" s="115" t="s">
        <v>161</v>
      </c>
      <c r="B69" s="92" t="s">
        <v>269</v>
      </c>
      <c r="C69" s="92">
        <v>12</v>
      </c>
      <c r="D69" s="92">
        <f>ROUND(F69/D6,2)</f>
        <v>41.78</v>
      </c>
      <c r="E69" s="92"/>
      <c r="F69" s="116">
        <f>'пр.3'!F42</f>
        <v>12951</v>
      </c>
    </row>
    <row r="70" spans="1:6" ht="39" hidden="1" thickBot="1">
      <c r="A70" s="111" t="s">
        <v>284</v>
      </c>
      <c r="B70" s="112"/>
      <c r="C70" s="112"/>
      <c r="D70" s="112"/>
      <c r="E70" s="112"/>
      <c r="F70" s="117"/>
    </row>
    <row r="71" spans="1:6" ht="39" hidden="1" thickBot="1">
      <c r="A71" s="111" t="s">
        <v>285</v>
      </c>
      <c r="B71" s="112"/>
      <c r="C71" s="112"/>
      <c r="D71" s="112"/>
      <c r="E71" s="112"/>
      <c r="F71" s="117"/>
    </row>
    <row r="72" spans="1:6" ht="39" hidden="1" thickBot="1">
      <c r="A72" s="111" t="s">
        <v>286</v>
      </c>
      <c r="B72" s="112"/>
      <c r="C72" s="112"/>
      <c r="D72" s="112"/>
      <c r="E72" s="112"/>
      <c r="F72" s="117"/>
    </row>
    <row r="73" spans="1:6" ht="26.25" hidden="1" thickBot="1">
      <c r="A73" s="111" t="s">
        <v>287</v>
      </c>
      <c r="B73" s="112"/>
      <c r="C73" s="112"/>
      <c r="D73" s="112"/>
      <c r="E73" s="112"/>
      <c r="F73" s="117"/>
    </row>
    <row r="74" spans="1:6" ht="39" hidden="1" thickBot="1">
      <c r="A74" s="111" t="s">
        <v>288</v>
      </c>
      <c r="B74" s="112"/>
      <c r="C74" s="112"/>
      <c r="D74" s="112"/>
      <c r="E74" s="112"/>
      <c r="F74" s="117"/>
    </row>
    <row r="75" spans="1:6" ht="31.5" customHeight="1" hidden="1">
      <c r="A75" s="670" t="s">
        <v>289</v>
      </c>
      <c r="B75" s="671"/>
      <c r="C75" s="671"/>
      <c r="D75" s="671"/>
      <c r="E75" s="671"/>
      <c r="F75" s="672"/>
    </row>
    <row r="76" spans="1:6" ht="13.5" hidden="1" thickBot="1">
      <c r="A76" s="111" t="s">
        <v>290</v>
      </c>
      <c r="B76" s="112"/>
      <c r="C76" s="112"/>
      <c r="D76" s="112"/>
      <c r="E76" s="112"/>
      <c r="F76" s="117"/>
    </row>
    <row r="77" spans="1:6" ht="39" hidden="1" thickBot="1">
      <c r="A77" s="111" t="s">
        <v>291</v>
      </c>
      <c r="B77" s="112"/>
      <c r="C77" s="112"/>
      <c r="D77" s="112"/>
      <c r="E77" s="112"/>
      <c r="F77" s="117"/>
    </row>
    <row r="78" spans="1:6" ht="13.5" hidden="1" thickBot="1">
      <c r="A78" s="111" t="s">
        <v>292</v>
      </c>
      <c r="B78" s="112"/>
      <c r="C78" s="112"/>
      <c r="D78" s="112"/>
      <c r="E78" s="112"/>
      <c r="F78" s="117"/>
    </row>
    <row r="79" spans="1:6" ht="26.25" hidden="1" thickBot="1">
      <c r="A79" s="111" t="s">
        <v>293</v>
      </c>
      <c r="B79" s="112"/>
      <c r="C79" s="112"/>
      <c r="D79" s="112"/>
      <c r="E79" s="112"/>
      <c r="F79" s="117"/>
    </row>
    <row r="80" spans="1:6" ht="51.75" hidden="1" thickBot="1">
      <c r="A80" s="111" t="s">
        <v>294</v>
      </c>
      <c r="B80" s="112"/>
      <c r="C80" s="112"/>
      <c r="D80" s="112"/>
      <c r="E80" s="112"/>
      <c r="F80" s="117"/>
    </row>
    <row r="81" spans="1:6" ht="26.25" hidden="1" thickBot="1">
      <c r="A81" s="111" t="s">
        <v>295</v>
      </c>
      <c r="B81" s="112"/>
      <c r="C81" s="112"/>
      <c r="D81" s="112"/>
      <c r="E81" s="112"/>
      <c r="F81" s="117"/>
    </row>
    <row r="82" spans="1:6" ht="31.5" customHeight="1" hidden="1">
      <c r="A82" s="670" t="s">
        <v>296</v>
      </c>
      <c r="B82" s="671"/>
      <c r="C82" s="671"/>
      <c r="D82" s="671"/>
      <c r="E82" s="671"/>
      <c r="F82" s="672"/>
    </row>
    <row r="83" spans="1:6" ht="26.25" hidden="1" thickBot="1">
      <c r="A83" s="111" t="s">
        <v>297</v>
      </c>
      <c r="B83" s="112"/>
      <c r="C83" s="112"/>
      <c r="D83" s="112"/>
      <c r="E83" s="112"/>
      <c r="F83" s="117"/>
    </row>
    <row r="84" spans="1:6" ht="26.25" hidden="1" thickBot="1">
      <c r="A84" s="111" t="s">
        <v>298</v>
      </c>
      <c r="B84" s="112"/>
      <c r="C84" s="112"/>
      <c r="D84" s="112"/>
      <c r="E84" s="112"/>
      <c r="F84" s="117"/>
    </row>
    <row r="85" spans="1:6" ht="26.25" hidden="1" thickBot="1">
      <c r="A85" s="111" t="s">
        <v>299</v>
      </c>
      <c r="B85" s="112"/>
      <c r="C85" s="112"/>
      <c r="D85" s="112"/>
      <c r="E85" s="112"/>
      <c r="F85" s="117"/>
    </row>
    <row r="86" spans="1:6" ht="13.5" hidden="1" thickBot="1">
      <c r="A86" s="111" t="s">
        <v>300</v>
      </c>
      <c r="B86" s="112"/>
      <c r="C86" s="112"/>
      <c r="D86" s="112"/>
      <c r="E86" s="112"/>
      <c r="F86" s="117"/>
    </row>
    <row r="87" spans="1:6" ht="26.25" hidden="1" thickBot="1">
      <c r="A87" s="111" t="s">
        <v>301</v>
      </c>
      <c r="B87" s="112"/>
      <c r="C87" s="112"/>
      <c r="D87" s="112"/>
      <c r="E87" s="112"/>
      <c r="F87" s="117"/>
    </row>
    <row r="88" spans="1:6" ht="26.25" hidden="1" thickBot="1">
      <c r="A88" s="111" t="s">
        <v>302</v>
      </c>
      <c r="B88" s="112"/>
      <c r="C88" s="112"/>
      <c r="D88" s="112"/>
      <c r="E88" s="112"/>
      <c r="F88" s="117"/>
    </row>
    <row r="89" spans="1:6" ht="26.25" hidden="1" thickBot="1">
      <c r="A89" s="111" t="s">
        <v>303</v>
      </c>
      <c r="B89" s="112"/>
      <c r="C89" s="112"/>
      <c r="D89" s="112"/>
      <c r="E89" s="112"/>
      <c r="F89" s="117"/>
    </row>
    <row r="90" spans="1:6" ht="26.25" hidden="1" thickBot="1">
      <c r="A90" s="111" t="s">
        <v>304</v>
      </c>
      <c r="B90" s="112"/>
      <c r="C90" s="112"/>
      <c r="D90" s="112"/>
      <c r="E90" s="112"/>
      <c r="F90" s="117"/>
    </row>
    <row r="91" spans="1:6" ht="26.25" hidden="1" thickBot="1">
      <c r="A91" s="111" t="s">
        <v>305</v>
      </c>
      <c r="B91" s="112"/>
      <c r="C91" s="112"/>
      <c r="D91" s="112"/>
      <c r="E91" s="112"/>
      <c r="F91" s="117"/>
    </row>
    <row r="92" spans="1:6" ht="26.25" hidden="1" thickBot="1">
      <c r="A92" s="111" t="s">
        <v>306</v>
      </c>
      <c r="B92" s="112"/>
      <c r="C92" s="112"/>
      <c r="D92" s="112"/>
      <c r="E92" s="112"/>
      <c r="F92" s="117"/>
    </row>
    <row r="93" spans="1:6" ht="26.25" hidden="1" thickBot="1">
      <c r="A93" s="111" t="s">
        <v>307</v>
      </c>
      <c r="B93" s="112"/>
      <c r="C93" s="112"/>
      <c r="D93" s="112"/>
      <c r="E93" s="112"/>
      <c r="F93" s="117"/>
    </row>
    <row r="94" spans="1:6" ht="12.75">
      <c r="A94" s="111" t="s">
        <v>308</v>
      </c>
      <c r="B94" s="92" t="s">
        <v>269</v>
      </c>
      <c r="C94" s="92">
        <v>12</v>
      </c>
      <c r="D94" s="92">
        <f>ROUND(F94/D6,2)</f>
        <v>0</v>
      </c>
      <c r="E94" s="92"/>
      <c r="F94" s="116">
        <f>'пр.3'!F43</f>
        <v>0</v>
      </c>
    </row>
    <row r="95" spans="1:82" s="104" customFormat="1" ht="13.5" thickBot="1">
      <c r="A95" s="113" t="s">
        <v>272</v>
      </c>
      <c r="B95" s="114"/>
      <c r="C95" s="114"/>
      <c r="D95" s="119">
        <f>SUM(D69+D94)</f>
        <v>41.78</v>
      </c>
      <c r="E95" s="114"/>
      <c r="F95" s="119">
        <f>SUM(F69+F94)</f>
        <v>12951</v>
      </c>
      <c r="G95" s="37"/>
      <c r="H95" s="278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</row>
    <row r="96" spans="1:6" ht="16.5" thickBot="1">
      <c r="A96" s="669" t="s">
        <v>309</v>
      </c>
      <c r="B96" s="669"/>
      <c r="C96" s="669"/>
      <c r="D96" s="669"/>
      <c r="E96" s="669"/>
      <c r="F96" s="669"/>
    </row>
    <row r="97" spans="1:6" ht="13.5" thickBot="1">
      <c r="A97" s="41" t="s">
        <v>310</v>
      </c>
      <c r="B97" s="92" t="s">
        <v>269</v>
      </c>
      <c r="C97" s="120"/>
      <c r="D97" s="92">
        <f>ROUND(F97/D6,2)</f>
        <v>344.62</v>
      </c>
      <c r="E97" s="120"/>
      <c r="F97" s="297">
        <f>'пр.3'!F68</f>
        <v>106833</v>
      </c>
    </row>
    <row r="98" spans="1:6" ht="13.5" hidden="1" thickBot="1">
      <c r="A98" s="111" t="s">
        <v>169</v>
      </c>
      <c r="B98" s="92" t="s">
        <v>269</v>
      </c>
      <c r="C98" s="112"/>
      <c r="D98" s="98">
        <f>ROUND(F98/D6,2)</f>
        <v>0</v>
      </c>
      <c r="E98" s="112"/>
      <c r="F98" s="118"/>
    </row>
    <row r="99" spans="1:6" ht="13.5" hidden="1" thickBot="1">
      <c r="A99" s="121" t="s">
        <v>223</v>
      </c>
      <c r="B99" s="92" t="s">
        <v>269</v>
      </c>
      <c r="C99" s="112"/>
      <c r="D99" s="98">
        <f>ROUND(F99/D6,2)</f>
        <v>0</v>
      </c>
      <c r="E99" s="112"/>
      <c r="F99" s="118">
        <v>0</v>
      </c>
    </row>
    <row r="100" spans="1:6" ht="13.5" thickBot="1">
      <c r="A100" s="121" t="s">
        <v>458</v>
      </c>
      <c r="B100" s="92" t="s">
        <v>269</v>
      </c>
      <c r="C100" s="112"/>
      <c r="D100" s="98">
        <f>ROUND(F100/D6,2)</f>
        <v>0</v>
      </c>
      <c r="E100" s="112"/>
      <c r="F100" s="304">
        <f>'пр.3'!F73</f>
        <v>0</v>
      </c>
    </row>
    <row r="101" spans="1:6" ht="13.5" thickBot="1">
      <c r="A101" s="121" t="s">
        <v>461</v>
      </c>
      <c r="B101" s="92" t="s">
        <v>269</v>
      </c>
      <c r="C101" s="112"/>
      <c r="D101" s="98">
        <f>ROUND(F101/D6,2)</f>
        <v>22.86</v>
      </c>
      <c r="E101" s="112"/>
      <c r="F101" s="304">
        <f>'пр.3'!F69</f>
        <v>7086.8</v>
      </c>
    </row>
    <row r="102" spans="1:6" ht="13.5" thickBot="1">
      <c r="A102" s="29" t="s">
        <v>463</v>
      </c>
      <c r="B102" s="92" t="s">
        <v>269</v>
      </c>
      <c r="C102" s="112"/>
      <c r="D102" s="98">
        <f>ROUND(F102/D6,2)</f>
        <v>19.42</v>
      </c>
      <c r="E102" s="112"/>
      <c r="F102" s="304">
        <f>'пр.3'!F71</f>
        <v>6020</v>
      </c>
    </row>
    <row r="103" spans="1:6" ht="13.5" thickBot="1">
      <c r="A103" s="29" t="s">
        <v>462</v>
      </c>
      <c r="B103" s="92" t="s">
        <v>269</v>
      </c>
      <c r="C103" s="112"/>
      <c r="D103" s="98">
        <f>ROUND(F103/D6,2)</f>
        <v>0</v>
      </c>
      <c r="E103" s="112"/>
      <c r="F103" s="304">
        <f>'пр.3'!F70</f>
        <v>0</v>
      </c>
    </row>
    <row r="104" spans="1:6" ht="12.75">
      <c r="A104" s="67" t="s">
        <v>260</v>
      </c>
      <c r="B104" s="92" t="s">
        <v>269</v>
      </c>
      <c r="C104" s="112"/>
      <c r="D104" s="98">
        <f>ROUND(F104/D6,2)</f>
        <v>8.39</v>
      </c>
      <c r="E104" s="112"/>
      <c r="F104" s="304">
        <f>'пр.3'!F72</f>
        <v>2600</v>
      </c>
    </row>
    <row r="105" spans="1:7" ht="12.75">
      <c r="A105" s="121" t="s">
        <v>311</v>
      </c>
      <c r="B105" s="96" t="s">
        <v>269</v>
      </c>
      <c r="C105" s="112"/>
      <c r="D105" s="98">
        <f>ROUND(F105/D6,2)</f>
        <v>0</v>
      </c>
      <c r="E105" s="112"/>
      <c r="F105" s="118">
        <f>'пр.3'!F84</f>
        <v>0</v>
      </c>
      <c r="G105" s="278"/>
    </row>
    <row r="106" spans="1:6" ht="12.75" hidden="1">
      <c r="A106" s="121" t="s">
        <v>312</v>
      </c>
      <c r="B106" s="96" t="s">
        <v>269</v>
      </c>
      <c r="C106" s="122"/>
      <c r="D106" s="98">
        <f>ROUND(F106/D6,2)</f>
        <v>0</v>
      </c>
      <c r="E106" s="122"/>
      <c r="F106" s="123"/>
    </row>
    <row r="107" spans="1:82" s="127" customFormat="1" ht="13.5" thickBot="1">
      <c r="A107" s="124" t="s">
        <v>313</v>
      </c>
      <c r="B107" s="125"/>
      <c r="C107" s="125"/>
      <c r="D107" s="126">
        <f>SUM(D97:D106)</f>
        <v>395.29</v>
      </c>
      <c r="E107" s="125"/>
      <c r="F107" s="305">
        <f>SUM(F97:F106)</f>
        <v>122539.8</v>
      </c>
      <c r="G107" s="278"/>
      <c r="H107" s="384"/>
      <c r="I107" s="278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</row>
    <row r="108" spans="1:82" s="105" customFormat="1" ht="18.75" hidden="1">
      <c r="A108" s="673" t="s">
        <v>314</v>
      </c>
      <c r="B108" s="674"/>
      <c r="C108" s="674"/>
      <c r="D108" s="674"/>
      <c r="E108" s="674"/>
      <c r="F108" s="674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</row>
    <row r="109" spans="1:82" s="105" customFormat="1" ht="36.75" customHeight="1" thickBot="1">
      <c r="A109" s="658" t="s">
        <v>315</v>
      </c>
      <c r="B109" s="658"/>
      <c r="C109" s="658"/>
      <c r="D109" s="658"/>
      <c r="E109" s="658"/>
      <c r="F109" s="659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</row>
    <row r="110" spans="1:82" s="105" customFormat="1" ht="12.75">
      <c r="A110" s="128" t="s">
        <v>227</v>
      </c>
      <c r="B110" s="92" t="s">
        <v>269</v>
      </c>
      <c r="C110" s="129">
        <v>12</v>
      </c>
      <c r="D110" s="92">
        <f>ROUND(F110/D6,2)</f>
        <v>0</v>
      </c>
      <c r="E110" s="130"/>
      <c r="F110" s="94">
        <f>'пр.4'!F6</f>
        <v>0</v>
      </c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</row>
    <row r="111" spans="1:82" s="105" customFormat="1" ht="12.75">
      <c r="A111" s="70" t="s">
        <v>228</v>
      </c>
      <c r="B111" s="96" t="s">
        <v>269</v>
      </c>
      <c r="C111" s="131">
        <v>12</v>
      </c>
      <c r="D111" s="98">
        <f>ROUND(F111/D6,2)</f>
        <v>0</v>
      </c>
      <c r="E111" s="132"/>
      <c r="F111" s="106">
        <f>'пр.4'!F7</f>
        <v>0</v>
      </c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</row>
    <row r="112" spans="1:82" s="104" customFormat="1" ht="13.5" thickBot="1">
      <c r="A112" s="113" t="s">
        <v>313</v>
      </c>
      <c r="B112" s="114"/>
      <c r="C112" s="114"/>
      <c r="D112" s="103">
        <f>D110+D111</f>
        <v>0</v>
      </c>
      <c r="E112" s="114"/>
      <c r="F112" s="103">
        <f>F110+F111</f>
        <v>0</v>
      </c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</row>
    <row r="113" spans="1:82" s="105" customFormat="1" ht="16.5" thickBot="1">
      <c r="A113" s="642" t="s">
        <v>316</v>
      </c>
      <c r="B113" s="642"/>
      <c r="C113" s="642"/>
      <c r="D113" s="642"/>
      <c r="E113" s="642"/>
      <c r="F113" s="665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</row>
    <row r="114" spans="1:82" s="105" customFormat="1" ht="12.75">
      <c r="A114" s="128" t="s">
        <v>231</v>
      </c>
      <c r="B114" s="92" t="s">
        <v>269</v>
      </c>
      <c r="C114" s="129">
        <v>12</v>
      </c>
      <c r="D114" s="92">
        <f>ROUND(F114/D6,2)</f>
        <v>0</v>
      </c>
      <c r="E114" s="130"/>
      <c r="F114" s="133">
        <f>'пр.4'!F26</f>
        <v>0</v>
      </c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</row>
    <row r="115" spans="1:82" s="105" customFormat="1" ht="12.75">
      <c r="A115" s="70" t="s">
        <v>232</v>
      </c>
      <c r="B115" s="96" t="s">
        <v>269</v>
      </c>
      <c r="C115" s="131">
        <v>12</v>
      </c>
      <c r="D115" s="98">
        <f>ROUND(F115/D6,2)</f>
        <v>0</v>
      </c>
      <c r="E115" s="132"/>
      <c r="F115" s="134">
        <f>'пр.4'!F27</f>
        <v>0</v>
      </c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</row>
    <row r="116" spans="1:82" s="105" customFormat="1" ht="12.75">
      <c r="A116" s="70" t="s">
        <v>233</v>
      </c>
      <c r="B116" s="96" t="s">
        <v>269</v>
      </c>
      <c r="C116" s="132"/>
      <c r="D116" s="131"/>
      <c r="E116" s="132"/>
      <c r="F116" s="134">
        <f>ROUND('пр.4'!F28/12,2)</f>
        <v>0</v>
      </c>
      <c r="G116" s="110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</row>
    <row r="117" spans="1:82" s="105" customFormat="1" ht="12.75">
      <c r="A117" s="70"/>
      <c r="B117" s="96" t="s">
        <v>269</v>
      </c>
      <c r="C117" s="132"/>
      <c r="D117" s="131"/>
      <c r="E117" s="132"/>
      <c r="F117" s="134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</row>
    <row r="118" spans="1:82" s="104" customFormat="1" ht="13.5" thickBot="1">
      <c r="A118" s="113" t="s">
        <v>313</v>
      </c>
      <c r="B118" s="114"/>
      <c r="C118" s="114"/>
      <c r="D118" s="103">
        <f>D114+D115+D116+D117</f>
        <v>0</v>
      </c>
      <c r="E118" s="114"/>
      <c r="F118" s="103">
        <f>F114+F115+F116+F117</f>
        <v>0</v>
      </c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</row>
    <row r="119" spans="1:82" s="105" customFormat="1" ht="33" customHeight="1" thickBot="1">
      <c r="A119" s="615" t="s">
        <v>317</v>
      </c>
      <c r="B119" s="615"/>
      <c r="C119" s="615"/>
      <c r="D119" s="615"/>
      <c r="E119" s="615"/>
      <c r="F119" s="666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</row>
    <row r="120" spans="1:82" s="105" customFormat="1" ht="12.75">
      <c r="A120" s="128" t="s">
        <v>238</v>
      </c>
      <c r="B120" s="92" t="s">
        <v>269</v>
      </c>
      <c r="C120" s="130"/>
      <c r="D120" s="92">
        <f>ROUND(F120/D6,2)</f>
        <v>0</v>
      </c>
      <c r="E120" s="130"/>
      <c r="F120" s="133">
        <f>'пр.4'!F36</f>
        <v>0</v>
      </c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</row>
    <row r="121" spans="1:82" s="104" customFormat="1" ht="13.5" thickBot="1">
      <c r="A121" s="113" t="s">
        <v>313</v>
      </c>
      <c r="B121" s="114"/>
      <c r="C121" s="114"/>
      <c r="D121" s="103">
        <f>D120</f>
        <v>0</v>
      </c>
      <c r="E121" s="114"/>
      <c r="F121" s="103">
        <f>F120</f>
        <v>0</v>
      </c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</row>
    <row r="122" spans="1:82" s="105" customFormat="1" ht="16.5" thickBot="1">
      <c r="A122" s="642" t="s">
        <v>318</v>
      </c>
      <c r="B122" s="642"/>
      <c r="C122" s="642"/>
      <c r="D122" s="642"/>
      <c r="E122" s="642"/>
      <c r="F122" s="665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</row>
    <row r="123" spans="1:82" s="105" customFormat="1" ht="12.75">
      <c r="A123" s="128"/>
      <c r="B123" s="92" t="s">
        <v>269</v>
      </c>
      <c r="C123" s="130"/>
      <c r="D123" s="92">
        <f>ROUND(F123/D6,2)</f>
        <v>0</v>
      </c>
      <c r="E123" s="130"/>
      <c r="F123" s="133">
        <f>'пр.4'!F43</f>
        <v>0</v>
      </c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</row>
    <row r="124" spans="1:82" s="105" customFormat="1" ht="13.5" thickBot="1">
      <c r="A124" s="135"/>
      <c r="B124" s="136" t="s">
        <v>269</v>
      </c>
      <c r="C124" s="137"/>
      <c r="D124" s="138">
        <f>ROUND(F124/D6,2)</f>
        <v>0</v>
      </c>
      <c r="E124" s="137"/>
      <c r="F124" s="139">
        <f>'пр.4'!F44</f>
        <v>0</v>
      </c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</row>
    <row r="125" spans="1:82" s="104" customFormat="1" ht="12.75">
      <c r="A125" s="140" t="s">
        <v>313</v>
      </c>
      <c r="B125" s="140"/>
      <c r="C125" s="140"/>
      <c r="D125" s="141">
        <f>D123+D124</f>
        <v>0</v>
      </c>
      <c r="E125" s="140"/>
      <c r="F125" s="141">
        <f>F123+F124</f>
        <v>0</v>
      </c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</row>
    <row r="126" spans="1:82" s="105" customFormat="1" ht="16.5" thickBot="1">
      <c r="A126" s="667" t="s">
        <v>319</v>
      </c>
      <c r="B126" s="667"/>
      <c r="C126" s="667"/>
      <c r="D126" s="667"/>
      <c r="E126" s="667"/>
      <c r="F126" s="66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</row>
    <row r="127" spans="1:82" s="105" customFormat="1" ht="12.75">
      <c r="A127" s="41" t="s">
        <v>244</v>
      </c>
      <c r="B127" s="92" t="s">
        <v>269</v>
      </c>
      <c r="C127" s="92">
        <v>12</v>
      </c>
      <c r="D127" s="142">
        <f>ROUND(F127/D6,2)</f>
        <v>91.89</v>
      </c>
      <c r="E127" s="92"/>
      <c r="F127" s="94">
        <f>'пр.5'!F6+'пр.5'!F7</f>
        <v>28485.480000000003</v>
      </c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</row>
    <row r="128" spans="1:82" s="105" customFormat="1" ht="12.75">
      <c r="A128" s="29" t="s">
        <v>246</v>
      </c>
      <c r="B128" s="96" t="s">
        <v>269</v>
      </c>
      <c r="C128" s="96">
        <v>12</v>
      </c>
      <c r="D128" s="143">
        <f>ROUND(F128/D6,2)</f>
        <v>0</v>
      </c>
      <c r="E128" s="96"/>
      <c r="F128" s="106">
        <f>'пр.5'!F8+'пр.5'!F9</f>
        <v>0</v>
      </c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</row>
    <row r="129" spans="1:82" s="105" customFormat="1" ht="12.75">
      <c r="A129" s="52" t="s">
        <v>177</v>
      </c>
      <c r="B129" s="96" t="s">
        <v>269</v>
      </c>
      <c r="C129" s="96">
        <v>12</v>
      </c>
      <c r="D129" s="143">
        <f>ROUND(F129/D6,2)</f>
        <v>0</v>
      </c>
      <c r="E129" s="96"/>
      <c r="F129" s="106">
        <f>'пр.5'!F10+'пр.5'!F11</f>
        <v>0</v>
      </c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</row>
    <row r="130" spans="1:82" s="105" customFormat="1" ht="12.75">
      <c r="A130" s="52" t="s">
        <v>247</v>
      </c>
      <c r="B130" s="96" t="s">
        <v>269</v>
      </c>
      <c r="C130" s="96">
        <v>12</v>
      </c>
      <c r="D130" s="143">
        <f>ROUND(F130/D6,2)</f>
        <v>2034.58</v>
      </c>
      <c r="E130" s="96"/>
      <c r="F130" s="106">
        <f>'пр.5'!F12+'пр.5'!F13+'пр.5'!F14</f>
        <v>630718.75</v>
      </c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</row>
    <row r="131" spans="1:82" s="105" customFormat="1" ht="12.75">
      <c r="A131" s="52" t="s">
        <v>249</v>
      </c>
      <c r="B131" s="96" t="s">
        <v>269</v>
      </c>
      <c r="C131" s="96">
        <v>12</v>
      </c>
      <c r="D131" s="143">
        <f>ROUND(F131/D6,2)</f>
        <v>1314.79</v>
      </c>
      <c r="E131" s="96"/>
      <c r="F131" s="106">
        <f>'пр.5'!F16+'пр.5'!F15</f>
        <v>407584.77</v>
      </c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</row>
    <row r="132" spans="1:82" s="105" customFormat="1" ht="25.5">
      <c r="A132" s="29" t="s">
        <v>251</v>
      </c>
      <c r="B132" s="96" t="s">
        <v>269</v>
      </c>
      <c r="C132" s="96">
        <v>12</v>
      </c>
      <c r="D132" s="143">
        <f>ROUND(F132/D6,2)</f>
        <v>592.26</v>
      </c>
      <c r="E132" s="96"/>
      <c r="F132" s="106">
        <f>'пр.5'!F17+'пр.5'!F18</f>
        <v>183600</v>
      </c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</row>
    <row r="133" spans="1:82" s="105" customFormat="1" ht="13.5" thickBot="1">
      <c r="A133" s="144" t="s">
        <v>313</v>
      </c>
      <c r="B133" s="145"/>
      <c r="C133" s="145"/>
      <c r="D133" s="146">
        <f>SUM(D127:D132)</f>
        <v>4033.5199999999995</v>
      </c>
      <c r="E133" s="147"/>
      <c r="F133" s="146">
        <f>SUM(F127:F132)</f>
        <v>1250389</v>
      </c>
      <c r="G133" s="278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</row>
    <row r="134" spans="1:82" s="152" customFormat="1" ht="26.25" thickBot="1">
      <c r="A134" s="148" t="s">
        <v>320</v>
      </c>
      <c r="B134" s="149"/>
      <c r="C134" s="149"/>
      <c r="D134" s="150">
        <f>D133+D125+D121+D118+D112+D107+D95+D67+D36</f>
        <v>20963.57838709677</v>
      </c>
      <c r="E134" s="149"/>
      <c r="F134" s="151">
        <f>F133+F125+F121+F118+F112+F107+F95+F67+F36</f>
        <v>6498706.199999999</v>
      </c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</row>
    <row r="135" spans="1:6" ht="19.5" thickBot="1">
      <c r="A135" s="668" t="s">
        <v>321</v>
      </c>
      <c r="B135" s="668"/>
      <c r="C135" s="668"/>
      <c r="D135" s="668"/>
      <c r="E135" s="668"/>
      <c r="F135" s="668"/>
    </row>
    <row r="136" spans="1:6" ht="12.75">
      <c r="A136" s="115" t="s">
        <v>322</v>
      </c>
      <c r="B136" s="92" t="s">
        <v>269</v>
      </c>
      <c r="C136" s="153">
        <v>0.022</v>
      </c>
      <c r="D136" s="142">
        <f>ROUND(F136/D6,2)</f>
        <v>405.76</v>
      </c>
      <c r="E136" s="92"/>
      <c r="F136" s="94">
        <f>'пр.6'!F6</f>
        <v>125786</v>
      </c>
    </row>
    <row r="137" spans="1:6" ht="12.75">
      <c r="A137" s="111" t="s">
        <v>323</v>
      </c>
      <c r="B137" s="96" t="s">
        <v>269</v>
      </c>
      <c r="C137" s="154">
        <v>0.015</v>
      </c>
      <c r="D137" s="143">
        <f>ROUND(F137/D6,2)</f>
        <v>1535.94</v>
      </c>
      <c r="E137" s="96"/>
      <c r="F137" s="106">
        <f>'пр.6'!F7+'пр.6'!F8</f>
        <v>476142</v>
      </c>
    </row>
    <row r="138" spans="1:6" ht="12.75">
      <c r="A138" s="155" t="s">
        <v>258</v>
      </c>
      <c r="B138" s="96" t="s">
        <v>269</v>
      </c>
      <c r="C138" s="154"/>
      <c r="D138" s="143">
        <f>ROUND(F138/D6,2)</f>
        <v>0</v>
      </c>
      <c r="E138" s="96"/>
      <c r="F138" s="106">
        <f>'пр.6'!F9</f>
        <v>0</v>
      </c>
    </row>
    <row r="139" spans="1:6" ht="12.75">
      <c r="A139" s="111" t="s">
        <v>259</v>
      </c>
      <c r="B139" s="96" t="s">
        <v>269</v>
      </c>
      <c r="C139" s="154"/>
      <c r="D139" s="143">
        <f>ROUND(F139/D6,2)</f>
        <v>0</v>
      </c>
      <c r="E139" s="96"/>
      <c r="F139" s="106">
        <f>'пр.6'!F10</f>
        <v>0</v>
      </c>
    </row>
    <row r="140" spans="1:6" ht="12.75">
      <c r="A140" s="111" t="s">
        <v>260</v>
      </c>
      <c r="B140" s="96" t="s">
        <v>269</v>
      </c>
      <c r="C140" s="154"/>
      <c r="D140" s="143">
        <f>ROUND(F140/D6,2)</f>
        <v>0</v>
      </c>
      <c r="E140" s="96"/>
      <c r="F140" s="106">
        <f>'пр.6'!F11</f>
        <v>0</v>
      </c>
    </row>
    <row r="141" spans="1:6" ht="12.75">
      <c r="A141" s="111"/>
      <c r="B141" s="96"/>
      <c r="C141" s="154"/>
      <c r="D141" s="143"/>
      <c r="E141" s="96"/>
      <c r="F141" s="106"/>
    </row>
    <row r="142" spans="1:6" ht="12.75">
      <c r="A142" s="111"/>
      <c r="B142" s="96"/>
      <c r="C142" s="154"/>
      <c r="D142" s="143"/>
      <c r="E142" s="96"/>
      <c r="F142" s="106"/>
    </row>
    <row r="143" spans="1:6" ht="12.75">
      <c r="A143" s="111"/>
      <c r="B143" s="96"/>
      <c r="C143" s="154"/>
      <c r="D143" s="143"/>
      <c r="E143" s="96"/>
      <c r="F143" s="106"/>
    </row>
    <row r="144" spans="1:82" s="161" customFormat="1" ht="13.5" thickBot="1">
      <c r="A144" s="156" t="s">
        <v>313</v>
      </c>
      <c r="B144" s="157"/>
      <c r="C144" s="158"/>
      <c r="D144" s="159">
        <f>ROUND(F144/D6,2)</f>
        <v>1941.7</v>
      </c>
      <c r="E144" s="157"/>
      <c r="F144" s="160">
        <f>SUM(F136:F142)</f>
        <v>601928</v>
      </c>
      <c r="G144" s="278"/>
      <c r="H144" s="278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</row>
    <row r="145" spans="1:8" ht="19.5" thickBot="1">
      <c r="A145" s="162" t="s">
        <v>324</v>
      </c>
      <c r="B145" s="163"/>
      <c r="C145" s="163"/>
      <c r="D145" s="164">
        <f>D144+D134+D14</f>
        <v>45096.14838709677</v>
      </c>
      <c r="E145" s="165"/>
      <c r="F145" s="166">
        <f>F144+F134+F14</f>
        <v>13979800</v>
      </c>
      <c r="H145" s="278"/>
    </row>
    <row r="146" spans="6:8" ht="12.75">
      <c r="F146" s="167"/>
      <c r="H146" s="278"/>
    </row>
    <row r="147" spans="6:8" ht="12.75">
      <c r="F147" s="168"/>
      <c r="G147" s="278"/>
      <c r="H147" s="278"/>
    </row>
    <row r="148" spans="1:6" ht="12.75">
      <c r="A148" s="34" t="s">
        <v>431</v>
      </c>
      <c r="B148" s="35"/>
      <c r="C148" s="35"/>
      <c r="D148" s="35"/>
      <c r="E148" s="36"/>
      <c r="F148" s="395"/>
    </row>
    <row r="149" spans="5:6" ht="12.75">
      <c r="E149" s="39"/>
      <c r="F149" s="168"/>
    </row>
    <row r="150" ht="12.75">
      <c r="E150" s="39"/>
    </row>
    <row r="151" spans="1:5" ht="12.75">
      <c r="A151" s="20" t="s">
        <v>432</v>
      </c>
      <c r="E151" s="40"/>
    </row>
    <row r="152" ht="12.75">
      <c r="A152" s="20"/>
    </row>
  </sheetData>
  <sheetProtection/>
  <mergeCells count="23">
    <mergeCell ref="A113:F113"/>
    <mergeCell ref="A119:F119"/>
    <mergeCell ref="A122:F122"/>
    <mergeCell ref="A126:F126"/>
    <mergeCell ref="A135:F135"/>
    <mergeCell ref="A68:F68"/>
    <mergeCell ref="A75:F75"/>
    <mergeCell ref="A82:F82"/>
    <mergeCell ref="A96:F96"/>
    <mergeCell ref="A108:F108"/>
    <mergeCell ref="A109:F109"/>
    <mergeCell ref="A20:F20"/>
    <mergeCell ref="A24:F24"/>
    <mergeCell ref="A30:F30"/>
    <mergeCell ref="A31:F31"/>
    <mergeCell ref="A37:F37"/>
    <mergeCell ref="A42:F42"/>
    <mergeCell ref="A1:F1"/>
    <mergeCell ref="A2:F2"/>
    <mergeCell ref="A3:F3"/>
    <mergeCell ref="A5:F5"/>
    <mergeCell ref="A9:F9"/>
    <mergeCell ref="A15:F15"/>
  </mergeCells>
  <printOptions/>
  <pageMargins left="0.2" right="0.16" top="0.25" bottom="0.34" header="0.3" footer="0.3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4">
      <selection activeCell="E20" sqref="E20"/>
    </sheetView>
  </sheetViews>
  <sheetFormatPr defaultColWidth="9.140625" defaultRowHeight="15"/>
  <cols>
    <col min="1" max="2" width="7.57421875" style="20" customWidth="1"/>
    <col min="3" max="3" width="15.57421875" style="20" customWidth="1"/>
    <col min="4" max="5" width="18.140625" style="20" customWidth="1"/>
    <col min="6" max="6" width="12.57421875" style="20" customWidth="1"/>
    <col min="7" max="7" width="12.7109375" style="20" customWidth="1"/>
    <col min="8" max="16384" width="9.140625" style="20" customWidth="1"/>
  </cols>
  <sheetData>
    <row r="1" spans="6:10" ht="12.75">
      <c r="F1" s="40"/>
      <c r="G1" s="40"/>
      <c r="H1" s="40"/>
      <c r="I1" s="40"/>
      <c r="J1" s="40"/>
    </row>
    <row r="2" spans="1:10" ht="18">
      <c r="A2" s="675" t="s">
        <v>325</v>
      </c>
      <c r="B2" s="675"/>
      <c r="C2" s="675"/>
      <c r="D2" s="675"/>
      <c r="E2" s="675"/>
      <c r="F2" s="40"/>
      <c r="G2" s="40"/>
      <c r="H2" s="40"/>
      <c r="I2" s="40"/>
      <c r="J2" s="40"/>
    </row>
    <row r="3" spans="6:10" ht="12.75">
      <c r="F3" s="40"/>
      <c r="G3" s="40"/>
      <c r="H3" s="40"/>
      <c r="I3" s="40"/>
      <c r="J3" s="40"/>
    </row>
    <row r="4" spans="6:10" ht="12.75">
      <c r="F4" s="40"/>
      <c r="G4" s="40"/>
      <c r="H4" s="40"/>
      <c r="I4" s="40"/>
      <c r="J4" s="40"/>
    </row>
    <row r="5" spans="1:10" ht="12.75">
      <c r="A5" s="60" t="s">
        <v>152</v>
      </c>
      <c r="B5" s="60" t="s">
        <v>326</v>
      </c>
      <c r="C5" s="60" t="s">
        <v>327</v>
      </c>
      <c r="D5" s="60" t="s">
        <v>191</v>
      </c>
      <c r="E5" s="60" t="s">
        <v>328</v>
      </c>
      <c r="F5" s="40"/>
      <c r="G5" s="40"/>
      <c r="H5" s="40"/>
      <c r="I5" s="40"/>
      <c r="J5" s="40"/>
    </row>
    <row r="6" spans="1:10" s="173" customFormat="1" ht="12.75">
      <c r="A6" s="169"/>
      <c r="B6" s="169"/>
      <c r="C6" s="170">
        <f>SUM(C7:C24)</f>
        <v>13979800</v>
      </c>
      <c r="D6" s="170">
        <f>SUM(D7:D24)</f>
        <v>13979800</v>
      </c>
      <c r="E6" s="170">
        <f>SUM(E7:E24)</f>
        <v>0</v>
      </c>
      <c r="F6" s="171">
        <f>5051183+8928617</f>
        <v>13979800</v>
      </c>
      <c r="G6" s="171">
        <f>F6-D6</f>
        <v>0</v>
      </c>
      <c r="H6" s="172"/>
      <c r="I6" s="172"/>
      <c r="J6" s="172"/>
    </row>
    <row r="7" spans="1:10" s="173" customFormat="1" ht="12.75">
      <c r="A7" s="169">
        <v>211</v>
      </c>
      <c r="B7" s="169" t="s">
        <v>329</v>
      </c>
      <c r="C7" s="286">
        <v>0</v>
      </c>
      <c r="D7" s="176">
        <v>0</v>
      </c>
      <c r="E7" s="174">
        <f aca="true" t="shared" si="0" ref="E7:E24">C7-D7</f>
        <v>0</v>
      </c>
      <c r="F7" s="171"/>
      <c r="G7" s="172"/>
      <c r="H7" s="172"/>
      <c r="I7" s="172"/>
      <c r="J7" s="172"/>
    </row>
    <row r="8" spans="1:10" s="173" customFormat="1" ht="12.75">
      <c r="A8" s="169">
        <v>213</v>
      </c>
      <c r="B8" s="169" t="s">
        <v>329</v>
      </c>
      <c r="C8" s="286">
        <v>0</v>
      </c>
      <c r="D8" s="176">
        <v>0</v>
      </c>
      <c r="E8" s="174">
        <f t="shared" si="0"/>
        <v>0</v>
      </c>
      <c r="F8" s="171"/>
      <c r="G8" s="172"/>
      <c r="H8" s="172"/>
      <c r="I8" s="172"/>
      <c r="J8" s="172"/>
    </row>
    <row r="9" spans="1:10" s="173" customFormat="1" ht="12.75">
      <c r="A9" s="169">
        <v>211</v>
      </c>
      <c r="B9" s="175" t="s">
        <v>330</v>
      </c>
      <c r="C9" s="408">
        <v>6773023</v>
      </c>
      <c r="D9" s="176">
        <f>свод!F25+свод!F38</f>
        <v>6773023</v>
      </c>
      <c r="E9" s="174">
        <f t="shared" si="0"/>
        <v>0</v>
      </c>
      <c r="F9" s="40" t="s">
        <v>354</v>
      </c>
      <c r="G9" s="171"/>
      <c r="H9" s="172"/>
      <c r="I9" s="172"/>
      <c r="J9" s="172"/>
    </row>
    <row r="10" spans="1:10" s="173" customFormat="1" ht="12.75">
      <c r="A10" s="169">
        <v>213</v>
      </c>
      <c r="B10" s="175" t="s">
        <v>330</v>
      </c>
      <c r="C10" s="408">
        <v>2045453</v>
      </c>
      <c r="D10" s="176">
        <f>свод!F40+свод!F26</f>
        <v>2045453</v>
      </c>
      <c r="E10" s="174">
        <f t="shared" si="0"/>
        <v>0</v>
      </c>
      <c r="F10" s="172"/>
      <c r="G10" s="172"/>
      <c r="H10" s="172"/>
      <c r="I10" s="172"/>
      <c r="J10" s="172"/>
    </row>
    <row r="11" spans="1:10" s="173" customFormat="1" ht="12.75">
      <c r="A11" s="169">
        <v>226</v>
      </c>
      <c r="B11" s="175" t="s">
        <v>330</v>
      </c>
      <c r="C11" s="408">
        <v>11243</v>
      </c>
      <c r="D11" s="176">
        <f>свод!F27</f>
        <v>11243</v>
      </c>
      <c r="E11" s="174">
        <f t="shared" si="0"/>
        <v>0</v>
      </c>
      <c r="F11" s="172"/>
      <c r="G11" s="172"/>
      <c r="H11" s="172"/>
      <c r="I11" s="172"/>
      <c r="J11" s="172"/>
    </row>
    <row r="12" spans="1:10" s="173" customFormat="1" ht="12.75">
      <c r="A12" s="169">
        <v>310</v>
      </c>
      <c r="B12" s="175" t="s">
        <v>330</v>
      </c>
      <c r="C12" s="408">
        <v>64077</v>
      </c>
      <c r="D12" s="176">
        <f>'пр.1+2 '!D35:E35</f>
        <v>64077</v>
      </c>
      <c r="E12" s="174">
        <f t="shared" si="0"/>
        <v>0</v>
      </c>
      <c r="F12" s="171"/>
      <c r="G12" s="172"/>
      <c r="H12" s="172"/>
      <c r="I12" s="172"/>
      <c r="J12" s="172"/>
    </row>
    <row r="13" spans="1:10" s="173" customFormat="1" ht="12.75">
      <c r="A13" s="169">
        <v>340</v>
      </c>
      <c r="B13" s="175" t="s">
        <v>330</v>
      </c>
      <c r="C13" s="408">
        <v>34821</v>
      </c>
      <c r="D13" s="176">
        <f>'пр.1+2 '!D36:E36</f>
        <v>34821</v>
      </c>
      <c r="E13" s="174">
        <f t="shared" si="0"/>
        <v>0</v>
      </c>
      <c r="F13" s="171"/>
      <c r="G13" s="172"/>
      <c r="H13" s="172"/>
      <c r="I13" s="172"/>
      <c r="J13" s="172"/>
    </row>
    <row r="14" spans="1:10" ht="12.75">
      <c r="A14" s="60">
        <v>211</v>
      </c>
      <c r="B14" s="60">
        <v>901</v>
      </c>
      <c r="C14" s="408">
        <v>2008968</v>
      </c>
      <c r="D14" s="176">
        <f>свод!F16+свод!F43</f>
        <v>2008968</v>
      </c>
      <c r="E14" s="174">
        <f t="shared" si="0"/>
        <v>0</v>
      </c>
      <c r="F14" s="40" t="s">
        <v>354</v>
      </c>
      <c r="G14" s="40"/>
      <c r="H14" s="40"/>
      <c r="I14" s="40"/>
      <c r="J14" s="40"/>
    </row>
    <row r="15" spans="1:10" ht="12.75">
      <c r="A15" s="60">
        <v>212</v>
      </c>
      <c r="B15" s="60">
        <v>901</v>
      </c>
      <c r="C15" s="408">
        <v>2400</v>
      </c>
      <c r="D15" s="176">
        <f>свод!F35</f>
        <v>2400</v>
      </c>
      <c r="E15" s="174">
        <f t="shared" si="0"/>
        <v>0</v>
      </c>
      <c r="F15" s="40"/>
      <c r="G15" s="40"/>
      <c r="H15" s="40"/>
      <c r="I15" s="40"/>
      <c r="J15" s="40"/>
    </row>
    <row r="16" spans="1:10" ht="12.75">
      <c r="A16" s="60">
        <v>213</v>
      </c>
      <c r="B16" s="60">
        <v>901</v>
      </c>
      <c r="C16" s="408">
        <v>657267</v>
      </c>
      <c r="D16" s="176">
        <f>свод!F17+свод!F45</f>
        <v>657267</v>
      </c>
      <c r="E16" s="174">
        <f t="shared" si="0"/>
        <v>0</v>
      </c>
      <c r="F16" s="40"/>
      <c r="G16" s="40"/>
      <c r="H16" s="40"/>
      <c r="I16" s="40"/>
      <c r="J16" s="40"/>
    </row>
    <row r="17" spans="1:10" ht="12.75">
      <c r="A17" s="60">
        <v>221</v>
      </c>
      <c r="B17" s="60">
        <v>901</v>
      </c>
      <c r="C17" s="284">
        <v>12951</v>
      </c>
      <c r="D17" s="176">
        <f>свод!F95</f>
        <v>12951</v>
      </c>
      <c r="E17" s="174">
        <f t="shared" si="0"/>
        <v>0</v>
      </c>
      <c r="F17" s="40"/>
      <c r="G17" s="40"/>
      <c r="H17" s="40"/>
      <c r="I17" s="40"/>
      <c r="J17" s="40"/>
    </row>
    <row r="18" spans="1:10" ht="12.75">
      <c r="A18" s="60">
        <v>222</v>
      </c>
      <c r="B18" s="60">
        <v>901</v>
      </c>
      <c r="C18" s="284"/>
      <c r="D18" s="176">
        <f>свод!F96</f>
        <v>0</v>
      </c>
      <c r="E18" s="174">
        <f t="shared" si="0"/>
        <v>0</v>
      </c>
      <c r="F18" s="40"/>
      <c r="G18" s="40"/>
      <c r="H18" s="40"/>
      <c r="I18" s="40"/>
      <c r="J18" s="40"/>
    </row>
    <row r="19" spans="1:10" ht="12.75">
      <c r="A19" s="60">
        <v>223</v>
      </c>
      <c r="B19" s="60">
        <v>901</v>
      </c>
      <c r="C19" s="284">
        <v>1250389</v>
      </c>
      <c r="D19" s="176">
        <f>свод!F133</f>
        <v>1250389</v>
      </c>
      <c r="E19" s="174">
        <f t="shared" si="0"/>
        <v>0</v>
      </c>
      <c r="F19" s="40"/>
      <c r="G19" s="40"/>
      <c r="H19" s="40"/>
      <c r="I19" s="40"/>
      <c r="J19" s="40"/>
    </row>
    <row r="20" spans="1:10" ht="12.75">
      <c r="A20" s="60">
        <v>224</v>
      </c>
      <c r="B20" s="60">
        <v>901</v>
      </c>
      <c r="C20" s="284"/>
      <c r="D20" s="174">
        <f>свод!F99</f>
        <v>0</v>
      </c>
      <c r="E20" s="174">
        <f t="shared" si="0"/>
        <v>0</v>
      </c>
      <c r="F20" s="40"/>
      <c r="G20" s="40"/>
      <c r="H20" s="40"/>
      <c r="I20" s="40"/>
      <c r="J20" s="40"/>
    </row>
    <row r="21" spans="1:10" ht="12.75">
      <c r="A21" s="60">
        <v>225</v>
      </c>
      <c r="B21" s="60">
        <v>901</v>
      </c>
      <c r="C21" s="284">
        <v>362645</v>
      </c>
      <c r="D21" s="174">
        <f>свод!F49+свод!F50+свод!F51+свод!F52+свод!F56+свод!F110+свод!F111+свод!F57+свод!F58+свод!F59+свод!F63+свод!F62+свод!F66</f>
        <v>362645</v>
      </c>
      <c r="E21" s="174">
        <f t="shared" si="0"/>
        <v>0</v>
      </c>
      <c r="F21" s="40"/>
      <c r="G21" s="40"/>
      <c r="H21" s="40"/>
      <c r="I21" s="40"/>
      <c r="J21" s="40"/>
    </row>
    <row r="22" spans="1:10" ht="12.75">
      <c r="A22" s="60">
        <v>226</v>
      </c>
      <c r="B22" s="60">
        <v>901</v>
      </c>
      <c r="C22" s="284">
        <v>152035</v>
      </c>
      <c r="D22" s="174">
        <f>свод!F53+свод!F55+свод!F97+свод!F98+свод!F121+свод!F106+свод!F61+свод!F60+свод!F100+свод!F101+свод!F102+свод!F103+свод!F54</f>
        <v>152035</v>
      </c>
      <c r="E22" s="174">
        <f t="shared" si="0"/>
        <v>0</v>
      </c>
      <c r="F22" s="40"/>
      <c r="G22" s="40"/>
      <c r="H22" s="40"/>
      <c r="I22" s="40"/>
      <c r="J22" s="40"/>
    </row>
    <row r="23" spans="1:10" ht="12.75">
      <c r="A23" s="60">
        <v>290</v>
      </c>
      <c r="B23" s="60">
        <v>901</v>
      </c>
      <c r="C23" s="284">
        <v>604528</v>
      </c>
      <c r="D23" s="176">
        <f>свод!F136+свод!F137+свод!F138+свод!F139+свод!F140+свод!F105+свод!F104</f>
        <v>604528</v>
      </c>
      <c r="E23" s="174">
        <f t="shared" si="0"/>
        <v>0</v>
      </c>
      <c r="F23" s="40"/>
      <c r="G23" s="40"/>
      <c r="H23" s="40"/>
      <c r="I23" s="40"/>
      <c r="J23" s="40"/>
    </row>
    <row r="24" spans="1:10" ht="12.75">
      <c r="A24" s="60">
        <v>340</v>
      </c>
      <c r="B24" s="60">
        <v>901</v>
      </c>
      <c r="C24" s="285"/>
      <c r="D24" s="174">
        <f>свод!F118</f>
        <v>0</v>
      </c>
      <c r="E24" s="174">
        <f t="shared" si="0"/>
        <v>0</v>
      </c>
      <c r="F24" s="40"/>
      <c r="G24" s="40"/>
      <c r="H24" s="40"/>
      <c r="I24" s="40"/>
      <c r="J24" s="40"/>
    </row>
    <row r="25" spans="6:10" ht="12.75">
      <c r="F25" s="40"/>
      <c r="G25" s="40"/>
      <c r="H25" s="40"/>
      <c r="I25" s="40"/>
      <c r="J25" s="40"/>
    </row>
    <row r="27" spans="3:5" ht="12.75">
      <c r="C27" s="77"/>
      <c r="D27" s="77"/>
      <c r="E27" s="77"/>
    </row>
    <row r="29" ht="12.75">
      <c r="D29" s="77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smetanina</dc:creator>
  <cp:keywords/>
  <dc:description/>
  <cp:lastModifiedBy>User</cp:lastModifiedBy>
  <cp:lastPrinted>2014-07-17T11:37:10Z</cp:lastPrinted>
  <dcterms:created xsi:type="dcterms:W3CDTF">2011-03-15T07:37:35Z</dcterms:created>
  <dcterms:modified xsi:type="dcterms:W3CDTF">2014-10-14T11:04:48Z</dcterms:modified>
  <cp:category/>
  <cp:version/>
  <cp:contentType/>
  <cp:contentStatus/>
</cp:coreProperties>
</file>